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ist\Downloads\"/>
    </mc:Choice>
  </mc:AlternateContent>
  <xr:revisionPtr revIDLastSave="0" documentId="13_ncr:1_{76098A71-5164-4405-B5D2-2E680B0263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eo ciclico" sheetId="4" r:id="rId1"/>
  </sheets>
  <definedNames>
    <definedName name="_xlnm._FilterDatabase" localSheetId="0" hidden="1">'Conteo ciclico'!$A$1:$P$3606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6" i="4" l="1"/>
  <c r="I3606" i="4"/>
  <c r="C3606" i="4"/>
  <c r="J3605" i="4"/>
  <c r="I3605" i="4"/>
  <c r="C3605" i="4"/>
  <c r="J3604" i="4"/>
  <c r="I3604" i="4"/>
  <c r="C3604" i="4"/>
  <c r="J3603" i="4"/>
  <c r="I3603" i="4"/>
  <c r="C3603" i="4"/>
  <c r="J3602" i="4"/>
  <c r="I3602" i="4"/>
  <c r="C3602" i="4"/>
  <c r="J3601" i="4"/>
  <c r="I3601" i="4"/>
  <c r="C3601" i="4"/>
  <c r="J3600" i="4"/>
  <c r="I3600" i="4"/>
  <c r="C3600" i="4"/>
  <c r="J3599" i="4"/>
  <c r="I3599" i="4"/>
  <c r="C3599" i="4"/>
  <c r="J3598" i="4"/>
  <c r="I3598" i="4"/>
  <c r="C3598" i="4"/>
  <c r="J3597" i="4"/>
  <c r="I3597" i="4"/>
  <c r="C3597" i="4"/>
  <c r="J3596" i="4"/>
  <c r="I3596" i="4"/>
  <c r="C3596" i="4"/>
  <c r="J3595" i="4"/>
  <c r="I3595" i="4"/>
  <c r="C3595" i="4"/>
  <c r="J3594" i="4"/>
  <c r="I3594" i="4"/>
  <c r="C3594" i="4"/>
  <c r="J3593" i="4"/>
  <c r="I3593" i="4"/>
  <c r="C3593" i="4"/>
  <c r="J3592" i="4"/>
  <c r="I3592" i="4"/>
  <c r="C3592" i="4"/>
  <c r="C3591" i="4"/>
  <c r="J3590" i="4"/>
  <c r="C3590" i="4"/>
  <c r="J3589" i="4"/>
  <c r="I3589" i="4"/>
  <c r="C3589" i="4"/>
  <c r="J3588" i="4"/>
  <c r="I3588" i="4"/>
  <c r="C3588" i="4"/>
  <c r="J3587" i="4"/>
  <c r="I3587" i="4"/>
  <c r="C3587" i="4"/>
  <c r="C3586" i="4"/>
  <c r="J3585" i="4"/>
  <c r="I3585" i="4"/>
  <c r="C3585" i="4"/>
  <c r="J3584" i="4"/>
  <c r="I3584" i="4"/>
  <c r="C3584" i="4"/>
  <c r="J3583" i="4"/>
  <c r="I3583" i="4"/>
  <c r="C3583" i="4"/>
  <c r="J3582" i="4"/>
  <c r="I3582" i="4"/>
  <c r="C3582" i="4"/>
  <c r="J3581" i="4"/>
  <c r="I3581" i="4"/>
  <c r="C3581" i="4"/>
  <c r="J3580" i="4"/>
  <c r="I3580" i="4"/>
  <c r="C3580" i="4"/>
  <c r="J3579" i="4"/>
  <c r="I3579" i="4"/>
  <c r="C3579" i="4"/>
  <c r="J3578" i="4"/>
  <c r="I3578" i="4"/>
  <c r="C3578" i="4"/>
  <c r="J3577" i="4"/>
  <c r="I3577" i="4"/>
  <c r="C3577" i="4"/>
  <c r="J3576" i="4"/>
  <c r="I3576" i="4"/>
  <c r="C3576" i="4"/>
  <c r="J3575" i="4"/>
  <c r="I3575" i="4"/>
  <c r="C3575" i="4"/>
  <c r="J3574" i="4"/>
  <c r="I3574" i="4"/>
  <c r="C3574" i="4"/>
  <c r="J3573" i="4"/>
  <c r="I3573" i="4"/>
  <c r="C3573" i="4"/>
  <c r="J3572" i="4"/>
  <c r="I3572" i="4"/>
  <c r="C3572" i="4"/>
  <c r="J3571" i="4"/>
  <c r="I3571" i="4"/>
  <c r="C3571" i="4"/>
  <c r="J3570" i="4"/>
  <c r="I3570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J3540" i="4"/>
  <c r="I3540" i="4"/>
  <c r="C3540" i="4"/>
  <c r="J3539" i="4"/>
  <c r="I3539" i="4"/>
  <c r="C3539" i="4"/>
  <c r="J3538" i="4"/>
  <c r="I3538" i="4"/>
  <c r="C3538" i="4"/>
  <c r="J3537" i="4"/>
  <c r="I3537" i="4"/>
  <c r="C3537" i="4"/>
  <c r="J3536" i="4"/>
  <c r="I3536" i="4"/>
  <c r="C3536" i="4"/>
  <c r="J3535" i="4"/>
  <c r="I3535" i="4"/>
  <c r="C3535" i="4"/>
  <c r="J3534" i="4"/>
  <c r="I3534" i="4"/>
  <c r="C3534" i="4"/>
  <c r="J3533" i="4"/>
  <c r="I3533" i="4"/>
  <c r="C3533" i="4"/>
  <c r="J3532" i="4"/>
  <c r="I3532" i="4"/>
  <c r="C3532" i="4"/>
  <c r="J3531" i="4"/>
  <c r="I3531" i="4"/>
  <c r="C3531" i="4"/>
  <c r="J3530" i="4"/>
  <c r="I3530" i="4"/>
  <c r="C3530" i="4"/>
  <c r="J3529" i="4"/>
  <c r="I3529" i="4"/>
  <c r="C3529" i="4"/>
  <c r="J3528" i="4"/>
  <c r="I3528" i="4"/>
  <c r="C3528" i="4"/>
  <c r="J3527" i="4"/>
  <c r="I3527" i="4"/>
  <c r="C3527" i="4"/>
  <c r="J3526" i="4"/>
  <c r="I3526" i="4"/>
  <c r="C3526" i="4"/>
  <c r="J3525" i="4"/>
  <c r="I3525" i="4"/>
  <c r="C3525" i="4"/>
  <c r="J3524" i="4"/>
  <c r="I3524" i="4"/>
  <c r="C3524" i="4"/>
  <c r="J3523" i="4"/>
  <c r="I3523" i="4"/>
  <c r="C3523" i="4"/>
  <c r="J3522" i="4"/>
  <c r="I3522" i="4"/>
  <c r="C3522" i="4"/>
  <c r="J3521" i="4"/>
  <c r="I3521" i="4"/>
  <c r="C3521" i="4"/>
  <c r="J3520" i="4"/>
  <c r="I3520" i="4"/>
  <c r="C3520" i="4"/>
  <c r="J3519" i="4"/>
  <c r="I3519" i="4"/>
  <c r="C3519" i="4"/>
  <c r="J3518" i="4"/>
  <c r="I3518" i="4"/>
  <c r="C3518" i="4"/>
  <c r="J3517" i="4"/>
  <c r="I3517" i="4"/>
  <c r="C3517" i="4"/>
  <c r="C3516" i="4"/>
  <c r="C3515" i="4"/>
  <c r="C3514" i="4"/>
  <c r="J3513" i="4"/>
  <c r="I3513" i="4"/>
  <c r="C3513" i="4"/>
  <c r="J3512" i="4"/>
  <c r="I3512" i="4"/>
  <c r="C3512" i="4"/>
  <c r="J3511" i="4"/>
  <c r="I3511" i="4"/>
  <c r="C3511" i="4"/>
  <c r="J3510" i="4"/>
  <c r="I3510" i="4"/>
  <c r="C3510" i="4"/>
  <c r="J3509" i="4"/>
  <c r="I3509" i="4"/>
  <c r="C3509" i="4"/>
  <c r="J3508" i="4"/>
  <c r="I3508" i="4"/>
  <c r="C3508" i="4"/>
  <c r="C3507" i="4"/>
  <c r="C3506" i="4"/>
  <c r="J3505" i="4"/>
  <c r="I3505" i="4"/>
  <c r="C3505" i="4"/>
  <c r="J3504" i="4"/>
  <c r="I3504" i="4"/>
  <c r="C3504" i="4"/>
  <c r="J3503" i="4"/>
  <c r="I3503" i="4"/>
  <c r="C3503" i="4"/>
  <c r="J3502" i="4"/>
  <c r="I3502" i="4"/>
  <c r="C3502" i="4"/>
  <c r="J3501" i="4"/>
  <c r="I3501" i="4"/>
  <c r="C3501" i="4"/>
  <c r="J3500" i="4"/>
  <c r="I3500" i="4"/>
  <c r="C3500" i="4"/>
  <c r="J3499" i="4"/>
  <c r="I3499" i="4"/>
  <c r="C3499" i="4"/>
  <c r="C3498" i="4"/>
  <c r="J3497" i="4"/>
  <c r="I3497" i="4"/>
  <c r="C3497" i="4"/>
  <c r="J3496" i="4"/>
  <c r="I3496" i="4"/>
  <c r="C3496" i="4"/>
  <c r="J3495" i="4"/>
  <c r="I3495" i="4"/>
  <c r="C3495" i="4"/>
  <c r="J3494" i="4"/>
  <c r="I3494" i="4"/>
  <c r="C3494" i="4"/>
  <c r="J3493" i="4"/>
  <c r="I3493" i="4"/>
  <c r="C3493" i="4"/>
  <c r="J3492" i="4"/>
  <c r="I3492" i="4"/>
  <c r="C3492" i="4"/>
  <c r="J3491" i="4"/>
  <c r="I3491" i="4"/>
  <c r="C3491" i="4"/>
  <c r="C3490" i="4"/>
  <c r="J3489" i="4"/>
  <c r="I3489" i="4"/>
  <c r="C3489" i="4"/>
  <c r="J3488" i="4"/>
  <c r="I3488" i="4"/>
  <c r="C3488" i="4"/>
  <c r="J3487" i="4"/>
  <c r="I3487" i="4"/>
  <c r="C3487" i="4"/>
  <c r="C3486" i="4"/>
  <c r="C3485" i="4"/>
  <c r="J3484" i="4"/>
  <c r="I3484" i="4"/>
  <c r="C3484" i="4"/>
  <c r="J3483" i="4"/>
  <c r="I3483" i="4"/>
  <c r="C3483" i="4"/>
  <c r="J3482" i="4"/>
  <c r="I3482" i="4"/>
  <c r="C3482" i="4"/>
  <c r="J3481" i="4"/>
  <c r="I3481" i="4"/>
  <c r="C3481" i="4"/>
  <c r="J3480" i="4"/>
  <c r="I3480" i="4"/>
  <c r="C3480" i="4"/>
  <c r="J3479" i="4"/>
  <c r="I3479" i="4"/>
  <c r="C3479" i="4"/>
  <c r="J3478" i="4"/>
  <c r="I3478" i="4"/>
  <c r="C3478" i="4"/>
  <c r="C3477" i="4"/>
  <c r="J3476" i="4"/>
  <c r="I3476" i="4"/>
  <c r="C3476" i="4"/>
  <c r="J3475" i="4"/>
  <c r="I3475" i="4"/>
  <c r="C3475" i="4"/>
  <c r="J3474" i="4"/>
  <c r="I3474" i="4"/>
  <c r="C3474" i="4"/>
  <c r="J3473" i="4"/>
  <c r="I3473" i="4"/>
  <c r="C3473" i="4"/>
  <c r="J3472" i="4"/>
  <c r="I3472" i="4"/>
  <c r="C3472" i="4"/>
  <c r="J3471" i="4"/>
  <c r="I3471" i="4"/>
  <c r="C3471" i="4"/>
  <c r="C3470" i="4"/>
  <c r="C3469" i="4"/>
  <c r="J3468" i="4"/>
  <c r="I3468" i="4"/>
  <c r="C3468" i="4"/>
  <c r="J3467" i="4"/>
  <c r="I3467" i="4"/>
  <c r="C3467" i="4"/>
  <c r="J3466" i="4"/>
  <c r="I3466" i="4"/>
  <c r="C3466" i="4"/>
  <c r="J3465" i="4"/>
  <c r="I3465" i="4"/>
  <c r="C3465" i="4"/>
  <c r="J3464" i="4"/>
  <c r="I3464" i="4"/>
  <c r="C3464" i="4"/>
  <c r="C3463" i="4"/>
  <c r="J3462" i="4"/>
  <c r="I3462" i="4"/>
  <c r="C3462" i="4"/>
  <c r="J3461" i="4"/>
  <c r="I3461" i="4"/>
  <c r="C3461" i="4"/>
  <c r="J3460" i="4"/>
  <c r="I3460" i="4"/>
  <c r="C3460" i="4"/>
  <c r="J3459" i="4"/>
  <c r="I3459" i="4"/>
  <c r="C3459" i="4"/>
  <c r="J3458" i="4"/>
  <c r="I3458" i="4"/>
  <c r="C3458" i="4"/>
  <c r="J3457" i="4"/>
  <c r="I3457" i="4"/>
  <c r="C3457" i="4"/>
  <c r="J3456" i="4"/>
  <c r="I3456" i="4"/>
  <c r="C3456" i="4"/>
  <c r="C3455" i="4"/>
  <c r="J3454" i="4"/>
  <c r="I3454" i="4"/>
  <c r="C3454" i="4"/>
  <c r="C3453" i="4"/>
  <c r="J3452" i="4"/>
  <c r="I3452" i="4"/>
  <c r="C3452" i="4"/>
  <c r="J3451" i="4"/>
  <c r="I3451" i="4"/>
  <c r="C3451" i="4"/>
  <c r="J3450" i="4"/>
  <c r="I3450" i="4"/>
  <c r="C3450" i="4"/>
  <c r="J3449" i="4"/>
  <c r="I3449" i="4"/>
  <c r="C3449" i="4"/>
  <c r="J3448" i="4"/>
  <c r="I3448" i="4"/>
  <c r="C3448" i="4"/>
  <c r="J3447" i="4"/>
  <c r="I3447" i="4"/>
  <c r="C3447" i="4"/>
  <c r="J3446" i="4"/>
  <c r="I3446" i="4"/>
  <c r="C3446" i="4"/>
  <c r="C3445" i="4"/>
  <c r="J3444" i="4"/>
  <c r="I3444" i="4"/>
  <c r="C3444" i="4"/>
  <c r="J3443" i="4"/>
  <c r="I3443" i="4"/>
  <c r="C3443" i="4"/>
  <c r="J3442" i="4"/>
  <c r="I3442" i="4"/>
  <c r="C3442" i="4"/>
  <c r="J3441" i="4"/>
  <c r="I3441" i="4"/>
  <c r="C3441" i="4"/>
  <c r="J3440" i="4"/>
  <c r="I3440" i="4"/>
  <c r="C3440" i="4"/>
  <c r="C3439" i="4"/>
  <c r="C3438" i="4"/>
  <c r="C3437" i="4"/>
  <c r="C3436" i="4"/>
  <c r="C3435" i="4"/>
  <c r="J3434" i="4"/>
  <c r="I3434" i="4"/>
  <c r="C3434" i="4"/>
  <c r="J3433" i="4"/>
  <c r="I3433" i="4"/>
  <c r="C3433" i="4"/>
  <c r="J3432" i="4"/>
  <c r="I3432" i="4"/>
  <c r="C3432" i="4"/>
  <c r="J3431" i="4"/>
  <c r="I3431" i="4"/>
  <c r="C3431" i="4"/>
  <c r="J3430" i="4"/>
  <c r="I3430" i="4"/>
  <c r="C3430" i="4"/>
  <c r="J3429" i="4"/>
  <c r="I3429" i="4"/>
  <c r="C3429" i="4"/>
  <c r="J3428" i="4"/>
  <c r="I3428" i="4"/>
  <c r="C3428" i="4"/>
  <c r="C3427" i="4"/>
  <c r="J3426" i="4"/>
  <c r="I3426" i="4"/>
  <c r="C3426" i="4"/>
  <c r="J3425" i="4"/>
  <c r="I3425" i="4"/>
  <c r="C3425" i="4"/>
  <c r="J3424" i="4"/>
  <c r="I3424" i="4"/>
  <c r="C3424" i="4"/>
  <c r="J3423" i="4"/>
  <c r="I3423" i="4"/>
  <c r="C3423" i="4"/>
  <c r="J3422" i="4"/>
  <c r="I3422" i="4"/>
  <c r="C3422" i="4"/>
  <c r="J3421" i="4"/>
  <c r="I3421" i="4"/>
  <c r="C3421" i="4"/>
  <c r="J3420" i="4"/>
  <c r="I3420" i="4"/>
  <c r="C3420" i="4"/>
  <c r="C3419" i="4"/>
  <c r="J3418" i="4"/>
  <c r="I3418" i="4"/>
  <c r="C3418" i="4"/>
  <c r="J3417" i="4"/>
  <c r="I3417" i="4"/>
  <c r="C3417" i="4"/>
  <c r="J3416" i="4"/>
  <c r="I3416" i="4"/>
  <c r="C3416" i="4"/>
  <c r="J3415" i="4"/>
  <c r="I3415" i="4"/>
  <c r="C3415" i="4"/>
  <c r="J3414" i="4"/>
  <c r="I3414" i="4"/>
  <c r="C3414" i="4"/>
  <c r="J3413" i="4"/>
  <c r="I3413" i="4"/>
  <c r="C3413" i="4"/>
  <c r="J3412" i="4"/>
  <c r="I3412" i="4"/>
  <c r="C3412" i="4"/>
  <c r="C3411" i="4"/>
  <c r="J3410" i="4"/>
  <c r="I3410" i="4"/>
  <c r="C3410" i="4"/>
  <c r="J3409" i="4"/>
  <c r="I3409" i="4"/>
  <c r="C3409" i="4"/>
  <c r="J3408" i="4"/>
  <c r="I3408" i="4"/>
  <c r="C3408" i="4"/>
  <c r="J3407" i="4"/>
  <c r="I3407" i="4"/>
  <c r="C3407" i="4"/>
  <c r="J3406" i="4"/>
  <c r="I3406" i="4"/>
  <c r="C3406" i="4"/>
  <c r="J3405" i="4"/>
  <c r="I3405" i="4"/>
  <c r="C3405" i="4"/>
  <c r="J3404" i="4"/>
  <c r="I3404" i="4"/>
  <c r="C3404" i="4"/>
  <c r="C3403" i="4"/>
  <c r="J3402" i="4"/>
  <c r="I3402" i="4"/>
  <c r="C3402" i="4"/>
  <c r="C3401" i="4"/>
  <c r="J3400" i="4"/>
  <c r="I3400" i="4"/>
  <c r="C3400" i="4"/>
  <c r="C3399" i="4"/>
  <c r="J3398" i="4"/>
  <c r="I3398" i="4"/>
  <c r="C3398" i="4"/>
  <c r="C3397" i="4"/>
  <c r="J3396" i="4"/>
  <c r="I3396" i="4"/>
  <c r="C3396" i="4"/>
  <c r="J3395" i="4"/>
  <c r="I3395" i="4"/>
  <c r="C3395" i="4"/>
  <c r="J3394" i="4"/>
  <c r="I3394" i="4"/>
  <c r="C3394" i="4"/>
  <c r="J3393" i="4"/>
  <c r="I3393" i="4"/>
  <c r="C3393" i="4"/>
  <c r="C3392" i="4"/>
  <c r="C3391" i="4"/>
  <c r="C3390" i="4"/>
  <c r="C3389" i="4"/>
  <c r="J3388" i="4"/>
  <c r="I3388" i="4"/>
  <c r="C3388" i="4"/>
  <c r="J3387" i="4"/>
  <c r="I3387" i="4"/>
  <c r="C3387" i="4"/>
  <c r="J3386" i="4"/>
  <c r="I3386" i="4"/>
  <c r="C3386" i="4"/>
  <c r="C3385" i="4"/>
  <c r="C3384" i="4"/>
  <c r="J3383" i="4"/>
  <c r="I3383" i="4"/>
  <c r="C3383" i="4"/>
  <c r="C3382" i="4"/>
  <c r="C3381" i="4"/>
  <c r="J3380" i="4"/>
  <c r="I3380" i="4"/>
  <c r="C3380" i="4"/>
  <c r="J3379" i="4"/>
  <c r="I3379" i="4"/>
  <c r="C3379" i="4"/>
  <c r="J3378" i="4"/>
  <c r="I3378" i="4"/>
  <c r="C3378" i="4"/>
  <c r="J3377" i="4"/>
  <c r="I3377" i="4"/>
  <c r="C3377" i="4"/>
  <c r="J3376" i="4"/>
  <c r="I3376" i="4"/>
  <c r="C3376" i="4"/>
  <c r="J3375" i="4"/>
  <c r="I3375" i="4"/>
  <c r="C3375" i="4"/>
  <c r="C3374" i="4"/>
  <c r="J3373" i="4"/>
  <c r="I3373" i="4"/>
  <c r="C3373" i="4"/>
  <c r="J3372" i="4"/>
  <c r="I3372" i="4"/>
  <c r="C3372" i="4"/>
  <c r="J3371" i="4"/>
  <c r="I3371" i="4"/>
  <c r="C3371" i="4"/>
  <c r="J3370" i="4"/>
  <c r="I3370" i="4"/>
  <c r="C3370" i="4"/>
  <c r="J3369" i="4"/>
  <c r="I3369" i="4"/>
  <c r="C3369" i="4"/>
  <c r="J3368" i="4"/>
  <c r="I3368" i="4"/>
  <c r="C3368" i="4"/>
  <c r="C3367" i="4"/>
  <c r="J3366" i="4"/>
  <c r="I3366" i="4"/>
  <c r="C3366" i="4"/>
  <c r="J3365" i="4"/>
  <c r="I3365" i="4"/>
  <c r="C3365" i="4"/>
  <c r="J3364" i="4"/>
  <c r="I3364" i="4"/>
  <c r="C3364" i="4"/>
  <c r="C3363" i="4"/>
  <c r="C3362" i="4"/>
  <c r="C3361" i="4"/>
  <c r="J3360" i="4"/>
  <c r="I3360" i="4"/>
  <c r="C3360" i="4"/>
  <c r="J3359" i="4"/>
  <c r="I3359" i="4"/>
  <c r="C3359" i="4"/>
  <c r="J3358" i="4"/>
  <c r="I3358" i="4"/>
  <c r="C3358" i="4"/>
  <c r="J3357" i="4"/>
  <c r="I3357" i="4"/>
  <c r="C3357" i="4"/>
  <c r="C3356" i="4"/>
  <c r="C3355" i="4"/>
  <c r="J3354" i="4"/>
  <c r="I3354" i="4"/>
  <c r="C3354" i="4"/>
  <c r="C3353" i="4"/>
  <c r="J3352" i="4"/>
  <c r="I3352" i="4"/>
  <c r="C3352" i="4"/>
  <c r="J3351" i="4"/>
  <c r="I3351" i="4"/>
  <c r="C3351" i="4"/>
  <c r="J3350" i="4"/>
  <c r="I3350" i="4"/>
  <c r="C3350" i="4"/>
  <c r="J3349" i="4"/>
  <c r="I3349" i="4"/>
  <c r="C3349" i="4"/>
  <c r="J3348" i="4"/>
  <c r="I3348" i="4"/>
  <c r="C3348" i="4"/>
  <c r="J3347" i="4"/>
  <c r="I3347" i="4"/>
  <c r="C3347" i="4"/>
  <c r="C3346" i="4"/>
  <c r="J3345" i="4"/>
  <c r="I3345" i="4"/>
  <c r="C3345" i="4"/>
  <c r="J3344" i="4"/>
  <c r="I3344" i="4"/>
  <c r="C3344" i="4"/>
  <c r="J3343" i="4"/>
  <c r="I3343" i="4"/>
  <c r="C3343" i="4"/>
  <c r="J3342" i="4"/>
  <c r="I3342" i="4"/>
  <c r="C3342" i="4"/>
  <c r="J3341" i="4"/>
  <c r="I3341" i="4"/>
  <c r="C3341" i="4"/>
  <c r="J3340" i="4"/>
  <c r="I3340" i="4"/>
  <c r="C3340" i="4"/>
  <c r="J3339" i="4"/>
  <c r="I3339" i="4"/>
  <c r="C3339" i="4"/>
  <c r="C3338" i="4"/>
  <c r="C3337" i="4"/>
  <c r="C3336" i="4"/>
  <c r="J3335" i="4"/>
  <c r="I3335" i="4"/>
  <c r="C3335" i="4"/>
  <c r="J3334" i="4"/>
  <c r="I3334" i="4"/>
  <c r="C3334" i="4"/>
  <c r="J3333" i="4"/>
  <c r="I3333" i="4"/>
  <c r="C3333" i="4"/>
  <c r="J3332" i="4"/>
  <c r="I3332" i="4"/>
  <c r="C3332" i="4"/>
  <c r="J3331" i="4"/>
  <c r="I3331" i="4"/>
  <c r="C3331" i="4"/>
  <c r="J3330" i="4"/>
  <c r="I3330" i="4"/>
  <c r="C3330" i="4"/>
  <c r="J3329" i="4"/>
  <c r="I3329" i="4"/>
  <c r="C3329" i="4"/>
  <c r="C3328" i="4"/>
  <c r="J3327" i="4"/>
  <c r="I3327" i="4"/>
  <c r="C3327" i="4"/>
  <c r="C3326" i="4"/>
  <c r="J3325" i="4"/>
  <c r="I3325" i="4"/>
  <c r="C3325" i="4"/>
  <c r="J3324" i="4"/>
  <c r="I3324" i="4"/>
  <c r="C3324" i="4"/>
  <c r="J3323" i="4"/>
  <c r="I3323" i="4"/>
  <c r="C3323" i="4"/>
  <c r="J3322" i="4"/>
  <c r="I3322" i="4"/>
  <c r="C3322" i="4"/>
  <c r="J3321" i="4"/>
  <c r="I3321" i="4"/>
  <c r="C3321" i="4"/>
  <c r="J3320" i="4"/>
  <c r="I3320" i="4"/>
  <c r="C3320" i="4"/>
  <c r="J3319" i="4"/>
  <c r="I3319" i="4"/>
  <c r="C3319" i="4"/>
  <c r="C3318" i="4"/>
  <c r="J3317" i="4"/>
  <c r="I3317" i="4"/>
  <c r="C3317" i="4"/>
  <c r="J3316" i="4"/>
  <c r="I3316" i="4"/>
  <c r="C3316" i="4"/>
  <c r="J3315" i="4"/>
  <c r="I3315" i="4"/>
  <c r="C3315" i="4"/>
  <c r="C3314" i="4"/>
  <c r="J3313" i="4"/>
  <c r="I3313" i="4"/>
  <c r="C3313" i="4"/>
  <c r="J3312" i="4"/>
  <c r="I3312" i="4"/>
  <c r="C3312" i="4"/>
  <c r="J3311" i="4"/>
  <c r="I3311" i="4"/>
  <c r="C3311" i="4"/>
  <c r="J3310" i="4"/>
  <c r="I3310" i="4"/>
  <c r="C3310" i="4"/>
  <c r="J3309" i="4"/>
  <c r="I3309" i="4"/>
  <c r="C3309" i="4"/>
  <c r="J3308" i="4"/>
  <c r="I3308" i="4"/>
  <c r="C3308" i="4"/>
  <c r="J3307" i="4"/>
  <c r="I3307" i="4"/>
  <c r="C3307" i="4"/>
  <c r="C3306" i="4"/>
  <c r="C3305" i="4"/>
  <c r="J3304" i="4"/>
  <c r="I3304" i="4"/>
  <c r="C3304" i="4"/>
  <c r="C3303" i="4"/>
  <c r="J3302" i="4"/>
  <c r="I3302" i="4"/>
  <c r="C3302" i="4"/>
  <c r="C3301" i="4"/>
  <c r="J3300" i="4"/>
  <c r="I3300" i="4"/>
  <c r="C3300" i="4"/>
  <c r="J3299" i="4"/>
  <c r="I3299" i="4"/>
  <c r="C3299" i="4"/>
  <c r="J3298" i="4"/>
  <c r="I3298" i="4"/>
  <c r="C3298" i="4"/>
  <c r="J3297" i="4"/>
  <c r="I3297" i="4"/>
  <c r="C3297" i="4"/>
  <c r="J3296" i="4"/>
  <c r="I3296" i="4"/>
  <c r="C3296" i="4"/>
  <c r="C3295" i="4"/>
  <c r="J3294" i="4"/>
  <c r="I3294" i="4"/>
  <c r="C3294" i="4"/>
  <c r="J3293" i="4"/>
  <c r="I3293" i="4"/>
  <c r="C3293" i="4"/>
  <c r="J3292" i="4"/>
  <c r="I3292" i="4"/>
  <c r="C3292" i="4"/>
  <c r="J3291" i="4"/>
  <c r="I3291" i="4"/>
  <c r="C3291" i="4"/>
  <c r="J3290" i="4"/>
  <c r="I3290" i="4"/>
  <c r="C3290" i="4"/>
  <c r="J3289" i="4"/>
  <c r="I3289" i="4"/>
  <c r="C3289" i="4"/>
  <c r="J3288" i="4"/>
  <c r="I3288" i="4"/>
  <c r="C3288" i="4"/>
  <c r="C3287" i="4"/>
  <c r="J3286" i="4"/>
  <c r="I3286" i="4"/>
  <c r="C3286" i="4"/>
  <c r="C3285" i="4"/>
  <c r="J3284" i="4"/>
  <c r="I3284" i="4"/>
  <c r="C3284" i="4"/>
  <c r="J3283" i="4"/>
  <c r="I3283" i="4"/>
  <c r="C3283" i="4"/>
  <c r="J3282" i="4"/>
  <c r="I3282" i="4"/>
  <c r="C3282" i="4"/>
  <c r="J3281" i="4"/>
  <c r="I3281" i="4"/>
  <c r="C3281" i="4"/>
  <c r="J3280" i="4"/>
  <c r="I3280" i="4"/>
  <c r="C3280" i="4"/>
  <c r="J3279" i="4"/>
  <c r="I3279" i="4"/>
  <c r="C3279" i="4"/>
  <c r="J3278" i="4"/>
  <c r="I3278" i="4"/>
  <c r="C3278" i="4"/>
  <c r="C3277" i="4"/>
  <c r="C3276" i="4"/>
  <c r="J3275" i="4"/>
  <c r="I3275" i="4"/>
  <c r="C3275" i="4"/>
  <c r="J3274" i="4"/>
  <c r="I3274" i="4"/>
  <c r="C3274" i="4"/>
  <c r="J3273" i="4"/>
  <c r="I3273" i="4"/>
  <c r="C3273" i="4"/>
  <c r="J3272" i="4"/>
  <c r="I3272" i="4"/>
  <c r="C3272" i="4"/>
  <c r="J3271" i="4"/>
  <c r="I3271" i="4"/>
  <c r="C3271" i="4"/>
  <c r="C3270" i="4"/>
  <c r="J3269" i="4"/>
  <c r="I3269" i="4"/>
  <c r="C3269" i="4"/>
  <c r="J3268" i="4"/>
  <c r="I3268" i="4"/>
  <c r="C3268" i="4"/>
  <c r="J3267" i="4"/>
  <c r="I3267" i="4"/>
  <c r="C3267" i="4"/>
  <c r="C3266" i="4"/>
  <c r="C3265" i="4"/>
  <c r="C3264" i="4"/>
  <c r="J3263" i="4"/>
  <c r="I3263" i="4"/>
  <c r="C3263" i="4"/>
  <c r="J3262" i="4"/>
  <c r="I3262" i="4"/>
  <c r="C3262" i="4"/>
  <c r="J3261" i="4"/>
  <c r="I3261" i="4"/>
  <c r="C3261" i="4"/>
  <c r="J3260" i="4"/>
  <c r="I3260" i="4"/>
  <c r="C3260" i="4"/>
  <c r="J3259" i="4"/>
  <c r="I3259" i="4"/>
  <c r="C3259" i="4"/>
  <c r="J3258" i="4"/>
  <c r="I3258" i="4"/>
  <c r="C3258" i="4"/>
  <c r="C3257" i="4"/>
  <c r="J3256" i="4"/>
  <c r="I3256" i="4"/>
  <c r="C3256" i="4"/>
  <c r="J3255" i="4"/>
  <c r="I3255" i="4"/>
  <c r="C3255" i="4"/>
  <c r="J3254" i="4"/>
  <c r="I3254" i="4"/>
  <c r="C3254" i="4"/>
  <c r="C3253" i="4"/>
  <c r="J3252" i="4"/>
  <c r="I3252" i="4"/>
  <c r="C3252" i="4"/>
  <c r="J3251" i="4"/>
  <c r="I3251" i="4"/>
  <c r="C3251" i="4"/>
  <c r="J3250" i="4"/>
  <c r="I3250" i="4"/>
  <c r="C3250" i="4"/>
  <c r="J3249" i="4"/>
  <c r="I3249" i="4"/>
  <c r="C3249" i="4"/>
  <c r="J3248" i="4"/>
  <c r="I3248" i="4"/>
  <c r="C3248" i="4"/>
  <c r="J3247" i="4"/>
  <c r="I3247" i="4"/>
  <c r="C3247" i="4"/>
  <c r="J3246" i="4"/>
  <c r="I3246" i="4"/>
  <c r="C3246" i="4"/>
  <c r="C3245" i="4"/>
  <c r="C3244" i="4"/>
  <c r="C3243" i="4"/>
  <c r="C3242" i="4"/>
  <c r="J3241" i="4"/>
  <c r="I3241" i="4"/>
  <c r="C3241" i="4"/>
  <c r="C3240" i="4"/>
  <c r="C3239" i="4"/>
  <c r="J3238" i="4"/>
  <c r="I3238" i="4"/>
  <c r="C3238" i="4"/>
  <c r="J3237" i="4"/>
  <c r="I3237" i="4"/>
  <c r="C3237" i="4"/>
  <c r="J3236" i="4"/>
  <c r="I3236" i="4"/>
  <c r="C3236" i="4"/>
  <c r="J3235" i="4"/>
  <c r="I3235" i="4"/>
  <c r="C3235" i="4"/>
  <c r="J3234" i="4"/>
  <c r="I3234" i="4"/>
  <c r="C3234" i="4"/>
  <c r="J3233" i="4"/>
  <c r="I3233" i="4"/>
  <c r="C3233" i="4"/>
  <c r="J3232" i="4"/>
  <c r="I3232" i="4"/>
  <c r="C3232" i="4"/>
  <c r="C3231" i="4"/>
  <c r="J3230" i="4"/>
  <c r="I3230" i="4"/>
  <c r="C3230" i="4"/>
  <c r="J3229" i="4"/>
  <c r="I3229" i="4"/>
  <c r="C3229" i="4"/>
  <c r="J3228" i="4"/>
  <c r="I3228" i="4"/>
  <c r="C3228" i="4"/>
  <c r="J3227" i="4"/>
  <c r="I3227" i="4"/>
  <c r="C3227" i="4"/>
  <c r="J3226" i="4"/>
  <c r="I3226" i="4"/>
  <c r="C3226" i="4"/>
  <c r="J3225" i="4"/>
  <c r="I3225" i="4"/>
  <c r="C3225" i="4"/>
  <c r="J3224" i="4"/>
  <c r="I3224" i="4"/>
  <c r="C3224" i="4"/>
  <c r="C3223" i="4"/>
  <c r="J3222" i="4"/>
  <c r="I3222" i="4"/>
  <c r="C3222" i="4"/>
  <c r="J3221" i="4"/>
  <c r="I3221" i="4"/>
  <c r="C3221" i="4"/>
  <c r="J3220" i="4"/>
  <c r="I3220" i="4"/>
  <c r="C3220" i="4"/>
  <c r="J3219" i="4"/>
  <c r="I3219" i="4"/>
  <c r="C3219" i="4"/>
  <c r="C3218" i="4"/>
  <c r="J3217" i="4"/>
  <c r="I3217" i="4"/>
  <c r="C3217" i="4"/>
  <c r="J3216" i="4"/>
  <c r="I3216" i="4"/>
  <c r="C3216" i="4"/>
  <c r="J3215" i="4"/>
  <c r="I3215" i="4"/>
  <c r="C3215" i="4"/>
  <c r="J3214" i="4"/>
  <c r="I3214" i="4"/>
  <c r="C3214" i="4"/>
  <c r="J3213" i="4"/>
  <c r="I3213" i="4"/>
  <c r="C3213" i="4"/>
  <c r="J3212" i="4"/>
  <c r="I3212" i="4"/>
  <c r="C3212" i="4"/>
  <c r="J3211" i="4"/>
  <c r="I3211" i="4"/>
  <c r="C3211" i="4"/>
  <c r="C3210" i="4"/>
  <c r="J3209" i="4"/>
  <c r="I3209" i="4"/>
  <c r="C3209" i="4"/>
  <c r="J3208" i="4"/>
  <c r="I3208" i="4"/>
  <c r="C3208" i="4"/>
  <c r="J3207" i="4"/>
  <c r="I3207" i="4"/>
  <c r="C3207" i="4"/>
  <c r="J3206" i="4"/>
  <c r="I3206" i="4"/>
  <c r="C3206" i="4"/>
  <c r="J3205" i="4"/>
  <c r="I3205" i="4"/>
  <c r="C3205" i="4"/>
  <c r="J3204" i="4"/>
  <c r="I3204" i="4"/>
  <c r="C3204" i="4"/>
  <c r="J3203" i="4"/>
  <c r="I3203" i="4"/>
  <c r="C3203" i="4"/>
  <c r="C3202" i="4"/>
  <c r="J3201" i="4"/>
  <c r="I3201" i="4"/>
  <c r="C3201" i="4"/>
  <c r="C3200" i="4"/>
  <c r="J3199" i="4"/>
  <c r="I3199" i="4"/>
  <c r="C3199" i="4"/>
  <c r="C3198" i="4"/>
  <c r="C3197" i="4"/>
  <c r="C3196" i="4"/>
  <c r="C3195" i="4"/>
  <c r="C3194" i="4"/>
  <c r="J3193" i="4"/>
  <c r="I3193" i="4"/>
  <c r="C3193" i="4"/>
  <c r="J3192" i="4"/>
  <c r="I3192" i="4"/>
  <c r="C3192" i="4"/>
  <c r="C3191" i="4"/>
  <c r="J3190" i="4"/>
  <c r="I3190" i="4"/>
  <c r="C3190" i="4"/>
  <c r="J3189" i="4"/>
  <c r="I3189" i="4"/>
  <c r="C3189" i="4"/>
  <c r="J3188" i="4"/>
  <c r="I3188" i="4"/>
  <c r="C3188" i="4"/>
  <c r="C3187" i="4"/>
  <c r="C3186" i="4"/>
  <c r="C3185" i="4"/>
  <c r="J3184" i="4"/>
  <c r="I3184" i="4"/>
  <c r="C3184" i="4"/>
  <c r="J3183" i="4"/>
  <c r="I3183" i="4"/>
  <c r="C3183" i="4"/>
  <c r="J3182" i="4"/>
  <c r="I3182" i="4"/>
  <c r="C3182" i="4"/>
  <c r="J3181" i="4"/>
  <c r="I3181" i="4"/>
  <c r="C3181" i="4"/>
  <c r="C3180" i="4"/>
  <c r="J3179" i="4"/>
  <c r="I3179" i="4"/>
  <c r="C3179" i="4"/>
  <c r="J3178" i="4"/>
  <c r="I3178" i="4"/>
  <c r="C3178" i="4"/>
  <c r="C3177" i="4"/>
  <c r="J3176" i="4"/>
  <c r="I3176" i="4"/>
  <c r="C3176" i="4"/>
  <c r="C3175" i="4"/>
  <c r="C3174" i="4"/>
  <c r="J3173" i="4"/>
  <c r="I3173" i="4"/>
  <c r="C3173" i="4"/>
  <c r="J3172" i="4"/>
  <c r="I3172" i="4"/>
  <c r="C3172" i="4"/>
  <c r="C3171" i="4"/>
  <c r="C3170" i="4"/>
  <c r="C3169" i="4"/>
  <c r="J3168" i="4"/>
  <c r="I3168" i="4"/>
  <c r="C3168" i="4"/>
  <c r="J3167" i="4"/>
  <c r="I3167" i="4"/>
  <c r="C3167" i="4"/>
  <c r="J3166" i="4"/>
  <c r="I3166" i="4"/>
  <c r="C3166" i="4"/>
  <c r="C3165" i="4"/>
  <c r="J3164" i="4"/>
  <c r="I3164" i="4"/>
  <c r="C3164" i="4"/>
  <c r="J3163" i="4"/>
  <c r="I3163" i="4"/>
  <c r="C3163" i="4"/>
  <c r="C3162" i="4"/>
  <c r="J3161" i="4"/>
  <c r="I3161" i="4"/>
  <c r="C3161" i="4"/>
  <c r="J3160" i="4"/>
  <c r="I3160" i="4"/>
  <c r="C3160" i="4"/>
  <c r="C3159" i="4"/>
  <c r="J3158" i="4"/>
  <c r="I3158" i="4"/>
  <c r="C3158" i="4"/>
  <c r="J3157" i="4"/>
  <c r="I3157" i="4"/>
  <c r="C3157" i="4"/>
  <c r="J3156" i="4"/>
  <c r="I3156" i="4"/>
  <c r="C3156" i="4"/>
  <c r="J3155" i="4"/>
  <c r="I3155" i="4"/>
  <c r="C3155" i="4"/>
  <c r="C3154" i="4"/>
  <c r="C3153" i="4"/>
  <c r="J3152" i="4"/>
  <c r="I3152" i="4"/>
  <c r="C3152" i="4"/>
  <c r="J3151" i="4"/>
  <c r="I3151" i="4"/>
  <c r="C3151" i="4"/>
  <c r="J3150" i="4"/>
  <c r="I3150" i="4"/>
  <c r="C3150" i="4"/>
  <c r="J3149" i="4"/>
  <c r="I3149" i="4"/>
  <c r="C3149" i="4"/>
  <c r="J3148" i="4"/>
  <c r="I3148" i="4"/>
  <c r="C3148" i="4"/>
  <c r="J3147" i="4"/>
  <c r="I3147" i="4"/>
  <c r="C3147" i="4"/>
  <c r="J3146" i="4"/>
  <c r="I3146" i="4"/>
  <c r="C3146" i="4"/>
  <c r="C3145" i="4"/>
  <c r="J3144" i="4"/>
  <c r="I3144" i="4"/>
  <c r="C3144" i="4"/>
  <c r="C3143" i="4"/>
  <c r="J3142" i="4"/>
  <c r="I3142" i="4"/>
  <c r="C3142" i="4"/>
  <c r="J3141" i="4"/>
  <c r="I3141" i="4"/>
  <c r="C3141" i="4"/>
  <c r="J3140" i="4"/>
  <c r="I3140" i="4"/>
  <c r="C3140" i="4"/>
  <c r="J3139" i="4"/>
  <c r="I3139" i="4"/>
  <c r="C3139" i="4"/>
  <c r="J3138" i="4"/>
  <c r="I3138" i="4"/>
  <c r="C3138" i="4"/>
  <c r="J3137" i="4"/>
  <c r="I3137" i="4"/>
  <c r="C3137" i="4"/>
  <c r="J3136" i="4"/>
  <c r="I3136" i="4"/>
  <c r="C3136" i="4"/>
  <c r="C3135" i="4"/>
  <c r="J3134" i="4"/>
  <c r="I3134" i="4"/>
  <c r="C3134" i="4"/>
  <c r="J3133" i="4"/>
  <c r="I3133" i="4"/>
  <c r="C3133" i="4"/>
  <c r="J3132" i="4"/>
  <c r="I3132" i="4"/>
  <c r="C3132" i="4"/>
  <c r="J3131" i="4"/>
  <c r="I3131" i="4"/>
  <c r="C3131" i="4"/>
  <c r="J3130" i="4"/>
  <c r="I3130" i="4"/>
  <c r="C3130" i="4"/>
  <c r="J3129" i="4"/>
  <c r="I3129" i="4"/>
  <c r="C3129" i="4"/>
  <c r="J3128" i="4"/>
  <c r="I3128" i="4"/>
  <c r="C3128" i="4"/>
  <c r="C3127" i="4"/>
  <c r="J3126" i="4"/>
  <c r="I3126" i="4"/>
  <c r="C3126" i="4"/>
  <c r="J3125" i="4"/>
  <c r="I3125" i="4"/>
  <c r="C3125" i="4"/>
  <c r="J3124" i="4"/>
  <c r="I3124" i="4"/>
  <c r="C3124" i="4"/>
  <c r="J3123" i="4"/>
  <c r="I3123" i="4"/>
  <c r="C3123" i="4"/>
  <c r="J3122" i="4"/>
  <c r="I3122" i="4"/>
  <c r="C3122" i="4"/>
  <c r="J3121" i="4"/>
  <c r="I3121" i="4"/>
  <c r="C3121" i="4"/>
  <c r="J3120" i="4"/>
  <c r="I3120" i="4"/>
  <c r="C3120" i="4"/>
  <c r="C3119" i="4"/>
  <c r="J3118" i="4"/>
  <c r="I3118" i="4"/>
  <c r="C3118" i="4"/>
  <c r="J3117" i="4"/>
  <c r="I3117" i="4"/>
  <c r="C3117" i="4"/>
  <c r="J3116" i="4"/>
  <c r="I3116" i="4"/>
  <c r="C3116" i="4"/>
  <c r="J3115" i="4"/>
  <c r="I3115" i="4"/>
  <c r="C3115" i="4"/>
  <c r="J3114" i="4"/>
  <c r="I3114" i="4"/>
  <c r="C3114" i="4"/>
  <c r="J3113" i="4"/>
  <c r="I3113" i="4"/>
  <c r="C3113" i="4"/>
  <c r="J3112" i="4"/>
  <c r="I3112" i="4"/>
  <c r="C3112" i="4"/>
  <c r="C3111" i="4"/>
  <c r="J3110" i="4"/>
  <c r="I3110" i="4"/>
  <c r="C3110" i="4"/>
  <c r="J3109" i="4"/>
  <c r="I3109" i="4"/>
  <c r="C3109" i="4"/>
  <c r="J3108" i="4"/>
  <c r="I3108" i="4"/>
  <c r="C3108" i="4"/>
  <c r="J3107" i="4"/>
  <c r="I3107" i="4"/>
  <c r="C3107" i="4"/>
  <c r="J3106" i="4"/>
  <c r="I3106" i="4"/>
  <c r="C3106" i="4"/>
  <c r="J3105" i="4"/>
  <c r="I3105" i="4"/>
  <c r="C3105" i="4"/>
  <c r="J3104" i="4"/>
  <c r="I3104" i="4"/>
  <c r="C3104" i="4"/>
  <c r="C3103" i="4"/>
  <c r="J3102" i="4"/>
  <c r="I3102" i="4"/>
  <c r="C3102" i="4"/>
  <c r="J3101" i="4"/>
  <c r="I3101" i="4"/>
  <c r="C3101" i="4"/>
  <c r="J3100" i="4"/>
  <c r="I3100" i="4"/>
  <c r="C3100" i="4"/>
  <c r="J3099" i="4"/>
  <c r="I3099" i="4"/>
  <c r="C3099" i="4"/>
  <c r="J3098" i="4"/>
  <c r="I3098" i="4"/>
  <c r="C3098" i="4"/>
  <c r="J3097" i="4"/>
  <c r="I3097" i="4"/>
  <c r="C3097" i="4"/>
  <c r="J3096" i="4"/>
  <c r="I3096" i="4"/>
  <c r="C3096" i="4"/>
  <c r="C3095" i="4"/>
  <c r="J3094" i="4"/>
  <c r="I3094" i="4"/>
  <c r="C3094" i="4"/>
  <c r="J3093" i="4"/>
  <c r="I3093" i="4"/>
  <c r="C3093" i="4"/>
  <c r="J3092" i="4"/>
  <c r="I3092" i="4"/>
  <c r="C3092" i="4"/>
  <c r="J3091" i="4"/>
  <c r="I3091" i="4"/>
  <c r="C3091" i="4"/>
  <c r="J3090" i="4"/>
  <c r="I3090" i="4"/>
  <c r="C3090" i="4"/>
  <c r="J3089" i="4"/>
  <c r="I3089" i="4"/>
  <c r="C3089" i="4"/>
  <c r="J3088" i="4"/>
  <c r="I3088" i="4"/>
  <c r="C3088" i="4"/>
  <c r="C3087" i="4"/>
  <c r="C3086" i="4"/>
  <c r="J3085" i="4"/>
  <c r="I3085" i="4"/>
  <c r="C3085" i="4"/>
  <c r="J3084" i="4"/>
  <c r="I3084" i="4"/>
  <c r="C3084" i="4"/>
  <c r="J3083" i="4"/>
  <c r="I3083" i="4"/>
  <c r="C3083" i="4"/>
  <c r="J3082" i="4"/>
  <c r="I3082" i="4"/>
  <c r="C3082" i="4"/>
  <c r="J3081" i="4"/>
  <c r="I3081" i="4"/>
  <c r="C3081" i="4"/>
  <c r="J3080" i="4"/>
  <c r="I3080" i="4"/>
  <c r="C3080" i="4"/>
  <c r="J3079" i="4"/>
  <c r="I3079" i="4"/>
  <c r="C3079" i="4"/>
  <c r="C3078" i="4"/>
  <c r="J3077" i="4"/>
  <c r="I3077" i="4"/>
  <c r="C3077" i="4"/>
  <c r="C3076" i="4"/>
  <c r="J3075" i="4"/>
  <c r="I3075" i="4"/>
  <c r="C3075" i="4"/>
  <c r="C3074" i="4"/>
  <c r="C3073" i="4"/>
  <c r="C3072" i="4"/>
  <c r="J3071" i="4"/>
  <c r="I3071" i="4"/>
  <c r="C3071" i="4"/>
  <c r="J3070" i="4"/>
  <c r="I3070" i="4"/>
  <c r="C3070" i="4"/>
  <c r="J3069" i="4"/>
  <c r="I3069" i="4"/>
  <c r="C3069" i="4"/>
  <c r="J3068" i="4"/>
  <c r="I3068" i="4"/>
  <c r="C3068" i="4"/>
  <c r="J3067" i="4"/>
  <c r="I3067" i="4"/>
  <c r="C3067" i="4"/>
  <c r="J3066" i="4"/>
  <c r="I3066" i="4"/>
  <c r="C3066" i="4"/>
  <c r="J3065" i="4"/>
  <c r="I3065" i="4"/>
  <c r="C3065" i="4"/>
  <c r="C3064" i="4"/>
  <c r="J3063" i="4"/>
  <c r="I3063" i="4"/>
  <c r="C3063" i="4"/>
  <c r="J3062" i="4"/>
  <c r="I3062" i="4"/>
  <c r="C3062" i="4"/>
  <c r="J3061" i="4"/>
  <c r="I3061" i="4"/>
  <c r="C3061" i="4"/>
  <c r="J3060" i="4"/>
  <c r="I3060" i="4"/>
  <c r="C3060" i="4"/>
  <c r="J3059" i="4"/>
  <c r="I3059" i="4"/>
  <c r="C3059" i="4"/>
  <c r="C3058" i="4"/>
  <c r="J3057" i="4"/>
  <c r="I3057" i="4"/>
  <c r="C3057" i="4"/>
  <c r="J3056" i="4"/>
  <c r="I3056" i="4"/>
  <c r="C3056" i="4"/>
  <c r="J3055" i="4"/>
  <c r="I3055" i="4"/>
  <c r="C3055" i="4"/>
  <c r="J3054" i="4"/>
  <c r="I3054" i="4"/>
  <c r="C3054" i="4"/>
  <c r="J3053" i="4"/>
  <c r="I3053" i="4"/>
  <c r="C3053" i="4"/>
  <c r="C3052" i="4"/>
  <c r="J3051" i="4"/>
  <c r="I3051" i="4"/>
  <c r="C3051" i="4"/>
  <c r="J3050" i="4"/>
  <c r="I3050" i="4"/>
  <c r="C3050" i="4"/>
  <c r="C3049" i="4"/>
  <c r="J3048" i="4"/>
  <c r="I3048" i="4"/>
  <c r="C3048" i="4"/>
  <c r="J3047" i="4"/>
  <c r="I3047" i="4"/>
  <c r="C3047" i="4"/>
  <c r="J3046" i="4"/>
  <c r="I3046" i="4"/>
  <c r="C3046" i="4"/>
  <c r="J3045" i="4"/>
  <c r="I3045" i="4"/>
  <c r="C3045" i="4"/>
  <c r="C3044" i="4"/>
  <c r="J3043" i="4"/>
  <c r="I3043" i="4"/>
  <c r="C3043" i="4"/>
  <c r="J3042" i="4"/>
  <c r="I3042" i="4"/>
  <c r="C3042" i="4"/>
  <c r="J3041" i="4"/>
  <c r="I3041" i="4"/>
  <c r="C3041" i="4"/>
  <c r="J3040" i="4"/>
  <c r="I3040" i="4"/>
  <c r="C3040" i="4"/>
  <c r="J3039" i="4"/>
  <c r="I3039" i="4"/>
  <c r="C3039" i="4"/>
  <c r="J3038" i="4"/>
  <c r="I3038" i="4"/>
  <c r="C3038" i="4"/>
  <c r="J3037" i="4"/>
  <c r="I3037" i="4"/>
  <c r="C3037" i="4"/>
  <c r="C3036" i="4"/>
  <c r="J3035" i="4"/>
  <c r="I3035" i="4"/>
  <c r="C3035" i="4"/>
  <c r="J3034" i="4"/>
  <c r="I3034" i="4"/>
  <c r="C3034" i="4"/>
  <c r="J3033" i="4"/>
  <c r="I3033" i="4"/>
  <c r="C3033" i="4"/>
  <c r="J3032" i="4"/>
  <c r="I3032" i="4"/>
  <c r="C3032" i="4"/>
  <c r="J3031" i="4"/>
  <c r="I3031" i="4"/>
  <c r="C3031" i="4"/>
  <c r="J3030" i="4"/>
  <c r="I3030" i="4"/>
  <c r="C3030" i="4"/>
  <c r="J3029" i="4"/>
  <c r="I3029" i="4"/>
  <c r="C3029" i="4"/>
  <c r="C3028" i="4"/>
  <c r="J3027" i="4"/>
  <c r="I3027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J3006" i="4"/>
  <c r="I3006" i="4"/>
  <c r="C3006" i="4"/>
  <c r="J3005" i="4"/>
  <c r="I3005" i="4"/>
  <c r="C3005" i="4"/>
  <c r="J3004" i="4"/>
  <c r="I3004" i="4"/>
  <c r="C3004" i="4"/>
  <c r="J3003" i="4"/>
  <c r="I3003" i="4"/>
  <c r="C3003" i="4"/>
  <c r="J3002" i="4"/>
  <c r="I3002" i="4"/>
  <c r="C3002" i="4"/>
  <c r="J3001" i="4"/>
  <c r="I3001" i="4"/>
  <c r="C3001" i="4"/>
  <c r="J3000" i="4"/>
  <c r="I3000" i="4"/>
  <c r="C3000" i="4"/>
  <c r="C2999" i="4"/>
  <c r="J2998" i="4"/>
  <c r="I2998" i="4"/>
  <c r="C2998" i="4"/>
  <c r="J2997" i="4"/>
  <c r="I2997" i="4"/>
  <c r="C2997" i="4"/>
  <c r="J2996" i="4"/>
  <c r="I2996" i="4"/>
  <c r="C2996" i="4"/>
  <c r="C2995" i="4"/>
  <c r="C2994" i="4"/>
  <c r="J2993" i="4"/>
  <c r="I2993" i="4"/>
  <c r="C2993" i="4"/>
  <c r="C2992" i="4"/>
  <c r="J2991" i="4"/>
  <c r="I2991" i="4"/>
  <c r="C2991" i="4"/>
  <c r="J2990" i="4"/>
  <c r="I2990" i="4"/>
  <c r="C2990" i="4"/>
  <c r="J2989" i="4"/>
  <c r="I2989" i="4"/>
  <c r="C2989" i="4"/>
  <c r="J2988" i="4"/>
  <c r="I2988" i="4"/>
  <c r="C2988" i="4"/>
  <c r="J2987" i="4"/>
  <c r="I2987" i="4"/>
  <c r="C2987" i="4"/>
  <c r="J2986" i="4"/>
  <c r="I2986" i="4"/>
  <c r="C2986" i="4"/>
  <c r="J2985" i="4"/>
  <c r="I2985" i="4"/>
  <c r="C2985" i="4"/>
  <c r="C2984" i="4"/>
  <c r="J2983" i="4"/>
  <c r="I2983" i="4"/>
  <c r="C2983" i="4"/>
  <c r="J2982" i="4"/>
  <c r="I2982" i="4"/>
  <c r="C2982" i="4"/>
  <c r="J2981" i="4"/>
  <c r="I2981" i="4"/>
  <c r="C2981" i="4"/>
  <c r="J2980" i="4"/>
  <c r="I2980" i="4"/>
  <c r="C2980" i="4"/>
  <c r="J2979" i="4"/>
  <c r="I2979" i="4"/>
  <c r="C2979" i="4"/>
  <c r="J2978" i="4"/>
  <c r="I2978" i="4"/>
  <c r="C2978" i="4"/>
  <c r="C2977" i="4"/>
  <c r="J2976" i="4"/>
  <c r="I2976" i="4"/>
  <c r="C2976" i="4"/>
  <c r="J2975" i="4"/>
  <c r="I2975" i="4"/>
  <c r="C2975" i="4"/>
  <c r="J2974" i="4"/>
  <c r="I2974" i="4"/>
  <c r="C2974" i="4"/>
  <c r="J2973" i="4"/>
  <c r="I2973" i="4"/>
  <c r="C2973" i="4"/>
  <c r="J2972" i="4"/>
  <c r="I2972" i="4"/>
  <c r="C2972" i="4"/>
  <c r="J2971" i="4"/>
  <c r="I2971" i="4"/>
  <c r="C2971" i="4"/>
  <c r="J2970" i="4"/>
  <c r="I2970" i="4"/>
  <c r="C2970" i="4"/>
  <c r="C2969" i="4"/>
  <c r="J2968" i="4"/>
  <c r="I2968" i="4"/>
  <c r="C2968" i="4"/>
  <c r="C2967" i="4"/>
  <c r="J2966" i="4"/>
  <c r="I2966" i="4"/>
  <c r="C2966" i="4"/>
  <c r="J2965" i="4"/>
  <c r="I2965" i="4"/>
  <c r="C2965" i="4"/>
  <c r="J2964" i="4"/>
  <c r="I2964" i="4"/>
  <c r="C2964" i="4"/>
  <c r="J2963" i="4"/>
  <c r="I2963" i="4"/>
  <c r="C2963" i="4"/>
  <c r="J2962" i="4"/>
  <c r="I2962" i="4"/>
  <c r="C2962" i="4"/>
  <c r="J2961" i="4"/>
  <c r="I2961" i="4"/>
  <c r="C2961" i="4"/>
  <c r="J2960" i="4"/>
  <c r="I2960" i="4"/>
  <c r="C2960" i="4"/>
  <c r="C2959" i="4"/>
  <c r="C2958" i="4"/>
  <c r="J2957" i="4"/>
  <c r="I2957" i="4"/>
  <c r="C2957" i="4"/>
  <c r="J2956" i="4"/>
  <c r="I2956" i="4"/>
  <c r="C2956" i="4"/>
  <c r="J2955" i="4"/>
  <c r="I2955" i="4"/>
  <c r="C2955" i="4"/>
  <c r="J2954" i="4"/>
  <c r="I2954" i="4"/>
  <c r="C2954" i="4"/>
  <c r="J2953" i="4"/>
  <c r="I2953" i="4"/>
  <c r="C2953" i="4"/>
  <c r="J2952" i="4"/>
  <c r="I2952" i="4"/>
  <c r="C2952" i="4"/>
  <c r="J2951" i="4"/>
  <c r="I2951" i="4"/>
  <c r="C2951" i="4"/>
  <c r="C2950" i="4"/>
  <c r="J2949" i="4"/>
  <c r="I2949" i="4"/>
  <c r="C2949" i="4"/>
  <c r="J2948" i="4"/>
  <c r="I2948" i="4"/>
  <c r="C2948" i="4"/>
  <c r="J2947" i="4"/>
  <c r="I2947" i="4"/>
  <c r="C2947" i="4"/>
  <c r="J2946" i="4"/>
  <c r="I2946" i="4"/>
  <c r="C2946" i="4"/>
  <c r="J2945" i="4"/>
  <c r="I2945" i="4"/>
  <c r="C2945" i="4"/>
  <c r="C2944" i="4"/>
  <c r="J2943" i="4"/>
  <c r="I2943" i="4"/>
  <c r="C2943" i="4"/>
  <c r="C2942" i="4"/>
  <c r="C2941" i="4"/>
  <c r="J2940" i="4"/>
  <c r="I2940" i="4"/>
  <c r="C2940" i="4"/>
  <c r="J2939" i="4"/>
  <c r="I2939" i="4"/>
  <c r="C2939" i="4"/>
  <c r="J2938" i="4"/>
  <c r="I2938" i="4"/>
  <c r="C2938" i="4"/>
  <c r="J2937" i="4"/>
  <c r="I2937" i="4"/>
  <c r="C2937" i="4"/>
  <c r="C2936" i="4"/>
  <c r="J2935" i="4"/>
  <c r="I2935" i="4"/>
  <c r="C2935" i="4"/>
  <c r="J2934" i="4"/>
  <c r="I2934" i="4"/>
  <c r="C2934" i="4"/>
  <c r="J2933" i="4"/>
  <c r="I2933" i="4"/>
  <c r="C2933" i="4"/>
  <c r="J2932" i="4"/>
  <c r="I2932" i="4"/>
  <c r="C2932" i="4"/>
  <c r="J2931" i="4"/>
  <c r="I2931" i="4"/>
  <c r="C2931" i="4"/>
  <c r="J2930" i="4"/>
  <c r="I2930" i="4"/>
  <c r="C2930" i="4"/>
  <c r="J2929" i="4"/>
  <c r="I2929" i="4"/>
  <c r="C2929" i="4"/>
  <c r="C2928" i="4"/>
  <c r="J2927" i="4"/>
  <c r="I2927" i="4"/>
  <c r="C2927" i="4"/>
  <c r="J2926" i="4"/>
  <c r="I2926" i="4"/>
  <c r="C2926" i="4"/>
  <c r="J2925" i="4"/>
  <c r="I2925" i="4"/>
  <c r="C2925" i="4"/>
  <c r="J2924" i="4"/>
  <c r="I2924" i="4"/>
  <c r="C2924" i="4"/>
  <c r="J2923" i="4"/>
  <c r="I2923" i="4"/>
  <c r="C2923" i="4"/>
  <c r="C2922" i="4"/>
  <c r="C2921" i="4"/>
  <c r="J2920" i="4"/>
  <c r="I2920" i="4"/>
  <c r="C2920" i="4"/>
  <c r="J2919" i="4"/>
  <c r="I2919" i="4"/>
  <c r="C2919" i="4"/>
  <c r="J2918" i="4"/>
  <c r="I2918" i="4"/>
  <c r="C2918" i="4"/>
  <c r="J2917" i="4"/>
  <c r="I2917" i="4"/>
  <c r="C2917" i="4"/>
  <c r="J2916" i="4"/>
  <c r="I2916" i="4"/>
  <c r="C2916" i="4"/>
  <c r="J2915" i="4"/>
  <c r="I2915" i="4"/>
  <c r="C2915" i="4"/>
  <c r="J2914" i="4"/>
  <c r="I2914" i="4"/>
  <c r="C2914" i="4"/>
  <c r="C2913" i="4"/>
  <c r="J2912" i="4"/>
  <c r="I2912" i="4"/>
  <c r="C2912" i="4"/>
  <c r="J2911" i="4"/>
  <c r="I2911" i="4"/>
  <c r="C2911" i="4"/>
  <c r="J2910" i="4"/>
  <c r="I2910" i="4"/>
  <c r="C2910" i="4"/>
  <c r="J2909" i="4"/>
  <c r="I2909" i="4"/>
  <c r="C2909" i="4"/>
  <c r="J2908" i="4"/>
  <c r="I2908" i="4"/>
  <c r="C2908" i="4"/>
  <c r="J2907" i="4"/>
  <c r="I2907" i="4"/>
  <c r="C2907" i="4"/>
  <c r="J2906" i="4"/>
  <c r="I2906" i="4"/>
  <c r="C2906" i="4"/>
  <c r="C2905" i="4"/>
  <c r="J2904" i="4"/>
  <c r="I2904" i="4"/>
  <c r="C2904" i="4"/>
  <c r="C2903" i="4"/>
  <c r="J2902" i="4"/>
  <c r="I2902" i="4"/>
  <c r="C2902" i="4"/>
  <c r="J2901" i="4"/>
  <c r="I2901" i="4"/>
  <c r="C2901" i="4"/>
  <c r="J2900" i="4"/>
  <c r="I2900" i="4"/>
  <c r="C2900" i="4"/>
  <c r="J2899" i="4"/>
  <c r="I2899" i="4"/>
  <c r="C2899" i="4"/>
  <c r="J2898" i="4"/>
  <c r="I2898" i="4"/>
  <c r="C2898" i="4"/>
  <c r="J2897" i="4"/>
  <c r="I2897" i="4"/>
  <c r="C2897" i="4"/>
  <c r="J2896" i="4"/>
  <c r="I2896" i="4"/>
  <c r="C2896" i="4"/>
  <c r="C2895" i="4"/>
  <c r="J2894" i="4"/>
  <c r="I2894" i="4"/>
  <c r="C2894" i="4"/>
  <c r="J2893" i="4"/>
  <c r="I2893" i="4"/>
  <c r="C2893" i="4"/>
  <c r="J2892" i="4"/>
  <c r="I2892" i="4"/>
  <c r="C2892" i="4"/>
  <c r="J2891" i="4"/>
  <c r="I2891" i="4"/>
  <c r="C2891" i="4"/>
  <c r="J2890" i="4"/>
  <c r="I2890" i="4"/>
  <c r="C2890" i="4"/>
  <c r="J2889" i="4"/>
  <c r="I2889" i="4"/>
  <c r="C2889" i="4"/>
  <c r="J2888" i="4"/>
  <c r="I2888" i="4"/>
  <c r="C2888" i="4"/>
  <c r="C2887" i="4"/>
  <c r="J2886" i="4"/>
  <c r="I2886" i="4"/>
  <c r="C2886" i="4"/>
  <c r="J2885" i="4"/>
  <c r="I2885" i="4"/>
  <c r="C2885" i="4"/>
  <c r="J2884" i="4"/>
  <c r="I2884" i="4"/>
  <c r="C2884" i="4"/>
  <c r="J2883" i="4"/>
  <c r="I2883" i="4"/>
  <c r="C2883" i="4"/>
  <c r="J2882" i="4"/>
  <c r="I2882" i="4"/>
  <c r="C2882" i="4"/>
  <c r="J2881" i="4"/>
  <c r="I2881" i="4"/>
  <c r="C2881" i="4"/>
  <c r="J2880" i="4"/>
  <c r="I2880" i="4"/>
  <c r="C2880" i="4"/>
  <c r="C2879" i="4"/>
  <c r="J2878" i="4"/>
  <c r="I2878" i="4"/>
  <c r="C2878" i="4"/>
  <c r="J2877" i="4"/>
  <c r="I2877" i="4"/>
  <c r="C2877" i="4"/>
  <c r="J2876" i="4"/>
  <c r="I2876" i="4"/>
  <c r="C2876" i="4"/>
  <c r="J2875" i="4"/>
  <c r="I2875" i="4"/>
  <c r="C2875" i="4"/>
  <c r="J2874" i="4"/>
  <c r="I2874" i="4"/>
  <c r="C2874" i="4"/>
  <c r="J2873" i="4"/>
  <c r="I2873" i="4"/>
  <c r="C2873" i="4"/>
  <c r="J2872" i="4"/>
  <c r="I2872" i="4"/>
  <c r="C2872" i="4"/>
  <c r="C2871" i="4"/>
  <c r="C2870" i="4"/>
  <c r="J2869" i="4"/>
  <c r="I2869" i="4"/>
  <c r="C2869" i="4"/>
  <c r="J2868" i="4"/>
  <c r="I2868" i="4"/>
  <c r="C2868" i="4"/>
  <c r="J2867" i="4"/>
  <c r="I2867" i="4"/>
  <c r="C2867" i="4"/>
  <c r="J2866" i="4"/>
  <c r="I2866" i="4"/>
  <c r="C2866" i="4"/>
  <c r="J2865" i="4"/>
  <c r="I2865" i="4"/>
  <c r="C2865" i="4"/>
  <c r="J2864" i="4"/>
  <c r="I2864" i="4"/>
  <c r="C2864" i="4"/>
  <c r="C2863" i="4"/>
  <c r="C2862" i="4"/>
  <c r="C2861" i="4"/>
  <c r="J2860" i="4"/>
  <c r="I2860" i="4"/>
  <c r="C2860" i="4"/>
  <c r="J2859" i="4"/>
  <c r="I2859" i="4"/>
  <c r="C2859" i="4"/>
  <c r="J2858" i="4"/>
  <c r="I2858" i="4"/>
  <c r="C2858" i="4"/>
  <c r="J2857" i="4"/>
  <c r="I2857" i="4"/>
  <c r="C2857" i="4"/>
  <c r="J2856" i="4"/>
  <c r="I2856" i="4"/>
  <c r="C2856" i="4"/>
  <c r="J2855" i="4"/>
  <c r="I2855" i="4"/>
  <c r="C2855" i="4"/>
  <c r="J2854" i="4"/>
  <c r="I2854" i="4"/>
  <c r="C2854" i="4"/>
  <c r="C2853" i="4"/>
  <c r="J2852" i="4"/>
  <c r="I2852" i="4"/>
  <c r="C2852" i="4"/>
  <c r="J2851" i="4"/>
  <c r="I2851" i="4"/>
  <c r="C2851" i="4"/>
  <c r="J2850" i="4"/>
  <c r="I2850" i="4"/>
  <c r="C2850" i="4"/>
  <c r="J2849" i="4"/>
  <c r="I2849" i="4"/>
  <c r="C2849" i="4"/>
  <c r="J2848" i="4"/>
  <c r="I2848" i="4"/>
  <c r="C2848" i="4"/>
  <c r="J2847" i="4"/>
  <c r="I2847" i="4"/>
  <c r="C2847" i="4"/>
  <c r="J2846" i="4"/>
  <c r="I2846" i="4"/>
  <c r="C2846" i="4"/>
  <c r="J2845" i="4"/>
  <c r="I2845" i="4"/>
  <c r="C2845" i="4"/>
  <c r="J2844" i="4"/>
  <c r="I2844" i="4"/>
  <c r="C2844" i="4"/>
  <c r="C2843" i="4"/>
  <c r="C2842" i="4"/>
  <c r="J2841" i="4"/>
  <c r="I2841" i="4"/>
  <c r="C2841" i="4"/>
  <c r="J2840" i="4"/>
  <c r="I2840" i="4"/>
  <c r="C2840" i="4"/>
  <c r="J2839" i="4"/>
  <c r="I2839" i="4"/>
  <c r="C2839" i="4"/>
  <c r="J2838" i="4"/>
  <c r="I2838" i="4"/>
  <c r="C2838" i="4"/>
  <c r="J2837" i="4"/>
  <c r="I2837" i="4"/>
  <c r="C2837" i="4"/>
  <c r="J2836" i="4"/>
  <c r="I2836" i="4"/>
  <c r="C2836" i="4"/>
  <c r="J2835" i="4"/>
  <c r="I2835" i="4"/>
  <c r="C2835" i="4"/>
  <c r="C2834" i="4"/>
  <c r="J2833" i="4"/>
  <c r="I2833" i="4"/>
  <c r="C2833" i="4"/>
  <c r="J2832" i="4"/>
  <c r="I2832" i="4"/>
  <c r="C2832" i="4"/>
  <c r="J2831" i="4"/>
  <c r="I2831" i="4"/>
  <c r="C2831" i="4"/>
  <c r="C2830" i="4"/>
  <c r="J2829" i="4"/>
  <c r="I2829" i="4"/>
  <c r="C2829" i="4"/>
  <c r="J2828" i="4"/>
  <c r="I2828" i="4"/>
  <c r="C2828" i="4"/>
  <c r="J2827" i="4"/>
  <c r="I2827" i="4"/>
  <c r="C2827" i="4"/>
  <c r="J2826" i="4"/>
  <c r="I2826" i="4"/>
  <c r="C2826" i="4"/>
  <c r="J2825" i="4"/>
  <c r="I2825" i="4"/>
  <c r="C2825" i="4"/>
  <c r="J2824" i="4"/>
  <c r="I2824" i="4"/>
  <c r="C2824" i="4"/>
  <c r="J2823" i="4"/>
  <c r="I2823" i="4"/>
  <c r="C2823" i="4"/>
  <c r="C2822" i="4"/>
  <c r="J2821" i="4"/>
  <c r="I2821" i="4"/>
  <c r="C2821" i="4"/>
  <c r="J2820" i="4"/>
  <c r="I2820" i="4"/>
  <c r="C2820" i="4"/>
  <c r="J2819" i="4"/>
  <c r="I2819" i="4"/>
  <c r="C2819" i="4"/>
  <c r="J2818" i="4"/>
  <c r="I2818" i="4"/>
  <c r="C2818" i="4"/>
  <c r="J2817" i="4"/>
  <c r="I2817" i="4"/>
  <c r="C2817" i="4"/>
  <c r="J2816" i="4"/>
  <c r="I2816" i="4"/>
  <c r="C2816" i="4"/>
  <c r="J2815" i="4"/>
  <c r="I2815" i="4"/>
  <c r="C2815" i="4"/>
  <c r="C2814" i="4"/>
  <c r="J2813" i="4"/>
  <c r="I2813" i="4"/>
  <c r="C2813" i="4"/>
  <c r="J2812" i="4"/>
  <c r="I2812" i="4"/>
  <c r="C2812" i="4"/>
  <c r="J2811" i="4"/>
  <c r="I2811" i="4"/>
  <c r="C2811" i="4"/>
  <c r="J2810" i="4"/>
  <c r="I2810" i="4"/>
  <c r="C2810" i="4"/>
  <c r="J2809" i="4"/>
  <c r="I2809" i="4"/>
  <c r="C2809" i="4"/>
  <c r="J2808" i="4"/>
  <c r="I2808" i="4"/>
  <c r="C2808" i="4"/>
  <c r="J2807" i="4"/>
  <c r="I2807" i="4"/>
  <c r="C2807" i="4"/>
  <c r="C2806" i="4"/>
  <c r="J2805" i="4"/>
  <c r="I2805" i="4"/>
  <c r="C2805" i="4"/>
  <c r="J2804" i="4"/>
  <c r="I2804" i="4"/>
  <c r="C2804" i="4"/>
  <c r="J2803" i="4"/>
  <c r="I2803" i="4"/>
  <c r="C2803" i="4"/>
  <c r="J2802" i="4"/>
  <c r="I2802" i="4"/>
  <c r="C2802" i="4"/>
  <c r="J2801" i="4"/>
  <c r="I2801" i="4"/>
  <c r="C2801" i="4"/>
  <c r="C2800" i="4"/>
  <c r="J2799" i="4"/>
  <c r="I2799" i="4"/>
  <c r="C2799" i="4"/>
  <c r="J2798" i="4"/>
  <c r="I2798" i="4"/>
  <c r="C2798" i="4"/>
  <c r="J2797" i="4"/>
  <c r="I2797" i="4"/>
  <c r="C2797" i="4"/>
  <c r="J2796" i="4"/>
  <c r="I2796" i="4"/>
  <c r="C2796" i="4"/>
  <c r="J2795" i="4"/>
  <c r="I2795" i="4"/>
  <c r="C2795" i="4"/>
  <c r="J2794" i="4"/>
  <c r="I2794" i="4"/>
  <c r="C2794" i="4"/>
  <c r="J2793" i="4"/>
  <c r="I2793" i="4"/>
  <c r="C2793" i="4"/>
  <c r="C2792" i="4"/>
  <c r="J2791" i="4"/>
  <c r="I2791" i="4"/>
  <c r="C2791" i="4"/>
  <c r="J2790" i="4"/>
  <c r="I2790" i="4"/>
  <c r="C2790" i="4"/>
  <c r="J2789" i="4"/>
  <c r="I2789" i="4"/>
  <c r="C2789" i="4"/>
  <c r="J2788" i="4"/>
  <c r="I2788" i="4"/>
  <c r="C2788" i="4"/>
  <c r="J2787" i="4"/>
  <c r="I2787" i="4"/>
  <c r="C2787" i="4"/>
  <c r="J2786" i="4"/>
  <c r="I2786" i="4"/>
  <c r="C2786" i="4"/>
  <c r="J2785" i="4"/>
  <c r="I2785" i="4"/>
  <c r="C2785" i="4"/>
  <c r="C2784" i="4"/>
  <c r="J2783" i="4"/>
  <c r="I2783" i="4"/>
  <c r="C2783" i="4"/>
  <c r="J2782" i="4"/>
  <c r="I2782" i="4"/>
  <c r="C2782" i="4"/>
  <c r="J2781" i="4"/>
  <c r="I2781" i="4"/>
  <c r="C2781" i="4"/>
  <c r="J2780" i="4"/>
  <c r="I2780" i="4"/>
  <c r="C2780" i="4"/>
  <c r="J2779" i="4"/>
  <c r="I2779" i="4"/>
  <c r="C2779" i="4"/>
  <c r="J2778" i="4"/>
  <c r="I2778" i="4"/>
  <c r="C2778" i="4"/>
  <c r="C2777" i="4"/>
  <c r="J2776" i="4"/>
  <c r="I2776" i="4"/>
  <c r="C2776" i="4"/>
  <c r="J2775" i="4"/>
  <c r="I2775" i="4"/>
  <c r="C2775" i="4"/>
  <c r="C2774" i="4"/>
  <c r="J2773" i="4"/>
  <c r="I2773" i="4"/>
  <c r="C2773" i="4"/>
  <c r="C2772" i="4"/>
  <c r="J2771" i="4"/>
  <c r="I2771" i="4"/>
  <c r="C2771" i="4"/>
  <c r="J2770" i="4"/>
  <c r="I2770" i="4"/>
  <c r="C2770" i="4"/>
  <c r="J2769" i="4"/>
  <c r="I2769" i="4"/>
  <c r="C2769" i="4"/>
  <c r="J2768" i="4"/>
  <c r="I2768" i="4"/>
  <c r="C2768" i="4"/>
  <c r="J2767" i="4"/>
  <c r="I2767" i="4"/>
  <c r="C2767" i="4"/>
  <c r="J2766" i="4"/>
  <c r="I2766" i="4"/>
  <c r="C2766" i="4"/>
  <c r="J2765" i="4"/>
  <c r="I2765" i="4"/>
  <c r="C2765" i="4"/>
  <c r="C2764" i="4"/>
  <c r="J2763" i="4"/>
  <c r="I2763" i="4"/>
  <c r="C2763" i="4"/>
  <c r="J2762" i="4"/>
  <c r="I2762" i="4"/>
  <c r="C2762" i="4"/>
  <c r="J2761" i="4"/>
  <c r="I2761" i="4"/>
  <c r="C2761" i="4"/>
  <c r="J2760" i="4"/>
  <c r="I2760" i="4"/>
  <c r="C2760" i="4"/>
  <c r="C2759" i="4"/>
  <c r="J2758" i="4"/>
  <c r="I2758" i="4"/>
  <c r="C2758" i="4"/>
  <c r="J2757" i="4"/>
  <c r="I2757" i="4"/>
  <c r="C2757" i="4"/>
  <c r="C2756" i="4"/>
  <c r="J2755" i="4"/>
  <c r="I2755" i="4"/>
  <c r="C2755" i="4"/>
  <c r="J2754" i="4"/>
  <c r="I2754" i="4"/>
  <c r="C2754" i="4"/>
  <c r="J2753" i="4"/>
  <c r="I2753" i="4"/>
  <c r="C2753" i="4"/>
  <c r="J2752" i="4"/>
  <c r="I2752" i="4"/>
  <c r="C2752" i="4"/>
  <c r="J2751" i="4"/>
  <c r="I2751" i="4"/>
  <c r="C2751" i="4"/>
  <c r="J2750" i="4"/>
  <c r="I2750" i="4"/>
  <c r="C2750" i="4"/>
  <c r="J2749" i="4"/>
  <c r="I2749" i="4"/>
  <c r="C2749" i="4"/>
  <c r="C2748" i="4"/>
  <c r="J2747" i="4"/>
  <c r="I2747" i="4"/>
  <c r="C2747" i="4"/>
  <c r="J2746" i="4"/>
  <c r="I2746" i="4"/>
  <c r="C2746" i="4"/>
  <c r="J2745" i="4"/>
  <c r="I2745" i="4"/>
  <c r="C2745" i="4"/>
  <c r="J2744" i="4"/>
  <c r="I2744" i="4"/>
  <c r="C2744" i="4"/>
  <c r="J2743" i="4"/>
  <c r="I2743" i="4"/>
  <c r="C2743" i="4"/>
  <c r="J2742" i="4"/>
  <c r="I2742" i="4"/>
  <c r="C2742" i="4"/>
  <c r="J2741" i="4"/>
  <c r="I2741" i="4"/>
  <c r="C2741" i="4"/>
  <c r="C2740" i="4"/>
  <c r="J2739" i="4"/>
  <c r="I2739" i="4"/>
  <c r="C2739" i="4"/>
  <c r="J2738" i="4"/>
  <c r="I2738" i="4"/>
  <c r="C2738" i="4"/>
  <c r="J2737" i="4"/>
  <c r="I2737" i="4"/>
  <c r="C2737" i="4"/>
  <c r="J2736" i="4"/>
  <c r="I2736" i="4"/>
  <c r="C2736" i="4"/>
  <c r="J2735" i="4"/>
  <c r="I2735" i="4"/>
  <c r="C2735" i="4"/>
  <c r="J2734" i="4"/>
  <c r="I2734" i="4"/>
  <c r="C2734" i="4"/>
  <c r="J2733" i="4"/>
  <c r="I2733" i="4"/>
  <c r="C2733" i="4"/>
  <c r="C2732" i="4"/>
  <c r="J2731" i="4"/>
  <c r="I2731" i="4"/>
  <c r="C2731" i="4"/>
  <c r="J2730" i="4"/>
  <c r="I2730" i="4"/>
  <c r="C2730" i="4"/>
  <c r="J2729" i="4"/>
  <c r="I2729" i="4"/>
  <c r="C2729" i="4"/>
  <c r="J2728" i="4"/>
  <c r="I2728" i="4"/>
  <c r="C2728" i="4"/>
  <c r="J2727" i="4"/>
  <c r="I2727" i="4"/>
  <c r="C2727" i="4"/>
  <c r="J2726" i="4"/>
  <c r="I2726" i="4"/>
  <c r="C2726" i="4"/>
  <c r="C2725" i="4"/>
  <c r="J2724" i="4"/>
  <c r="I2724" i="4"/>
  <c r="C2724" i="4"/>
  <c r="J2723" i="4"/>
  <c r="I2723" i="4"/>
  <c r="C2723" i="4"/>
  <c r="J2722" i="4"/>
  <c r="I2722" i="4"/>
  <c r="C2722" i="4"/>
  <c r="J2721" i="4"/>
  <c r="I2721" i="4"/>
  <c r="C2721" i="4"/>
  <c r="J2720" i="4"/>
  <c r="I2720" i="4"/>
  <c r="C2720" i="4"/>
  <c r="J2719" i="4"/>
  <c r="I2719" i="4"/>
  <c r="C2719" i="4"/>
  <c r="J2718" i="4"/>
  <c r="I2718" i="4"/>
  <c r="C2718" i="4"/>
  <c r="C2717" i="4"/>
  <c r="J2716" i="4"/>
  <c r="I2716" i="4"/>
  <c r="C2716" i="4"/>
  <c r="J2715" i="4"/>
  <c r="I2715" i="4"/>
  <c r="C2715" i="4"/>
  <c r="C2714" i="4"/>
  <c r="J2713" i="4"/>
  <c r="I2713" i="4"/>
  <c r="C2713" i="4"/>
  <c r="J2712" i="4"/>
  <c r="I2712" i="4"/>
  <c r="C2712" i="4"/>
  <c r="J2711" i="4"/>
  <c r="I2711" i="4"/>
  <c r="C2711" i="4"/>
  <c r="J2710" i="4"/>
  <c r="I2710" i="4"/>
  <c r="C2710" i="4"/>
  <c r="J2709" i="4"/>
  <c r="I2709" i="4"/>
  <c r="C2709" i="4"/>
  <c r="J2708" i="4"/>
  <c r="I2708" i="4"/>
  <c r="C2708" i="4"/>
  <c r="J2707" i="4"/>
  <c r="I2707" i="4"/>
  <c r="C2707" i="4"/>
  <c r="C2706" i="4"/>
  <c r="J2705" i="4"/>
  <c r="I2705" i="4"/>
  <c r="C2705" i="4"/>
  <c r="J2704" i="4"/>
  <c r="I2704" i="4"/>
  <c r="C2704" i="4"/>
  <c r="J2703" i="4"/>
  <c r="I2703" i="4"/>
  <c r="C2703" i="4"/>
  <c r="J2702" i="4"/>
  <c r="I2702" i="4"/>
  <c r="C2702" i="4"/>
  <c r="J2701" i="4"/>
  <c r="I2701" i="4"/>
  <c r="C2701" i="4"/>
  <c r="J2700" i="4"/>
  <c r="I2700" i="4"/>
  <c r="C2700" i="4"/>
  <c r="J2699" i="4"/>
  <c r="I2699" i="4"/>
  <c r="C2699" i="4"/>
  <c r="C2698" i="4"/>
  <c r="J2697" i="4"/>
  <c r="I2697" i="4"/>
  <c r="C2697" i="4"/>
  <c r="J2696" i="4"/>
  <c r="I2696" i="4"/>
  <c r="C2696" i="4"/>
  <c r="J2695" i="4"/>
  <c r="I2695" i="4"/>
  <c r="C2695" i="4"/>
  <c r="J2694" i="4"/>
  <c r="I2694" i="4"/>
  <c r="C2694" i="4"/>
  <c r="J2693" i="4"/>
  <c r="I2693" i="4"/>
  <c r="C2693" i="4"/>
  <c r="C2692" i="4"/>
  <c r="J2691" i="4"/>
  <c r="I2691" i="4"/>
  <c r="C2691" i="4"/>
  <c r="J2690" i="4"/>
  <c r="I2690" i="4"/>
  <c r="C2690" i="4"/>
  <c r="J2689" i="4"/>
  <c r="I2689" i="4"/>
  <c r="C2689" i="4"/>
  <c r="J2688" i="4"/>
  <c r="I2688" i="4"/>
  <c r="C2688" i="4"/>
  <c r="J2687" i="4"/>
  <c r="I2687" i="4"/>
  <c r="C2687" i="4"/>
  <c r="J2686" i="4"/>
  <c r="I2686" i="4"/>
  <c r="C2686" i="4"/>
  <c r="J2685" i="4"/>
  <c r="I2685" i="4"/>
  <c r="C2685" i="4"/>
  <c r="C2684" i="4"/>
  <c r="J2683" i="4"/>
  <c r="I2683" i="4"/>
  <c r="C2683" i="4"/>
  <c r="J2682" i="4"/>
  <c r="I2682" i="4"/>
  <c r="C2682" i="4"/>
  <c r="J2681" i="4"/>
  <c r="I2681" i="4"/>
  <c r="C2681" i="4"/>
  <c r="J2680" i="4"/>
  <c r="I2680" i="4"/>
  <c r="C2680" i="4"/>
  <c r="C2679" i="4"/>
  <c r="J2678" i="4"/>
  <c r="I2678" i="4"/>
  <c r="C2678" i="4"/>
  <c r="J2677" i="4"/>
  <c r="I2677" i="4"/>
  <c r="C2677" i="4"/>
  <c r="J2676" i="4"/>
  <c r="I2676" i="4"/>
  <c r="C2676" i="4"/>
  <c r="C2675" i="4"/>
  <c r="J2674" i="4"/>
  <c r="I2674" i="4"/>
  <c r="C2674" i="4"/>
  <c r="J2673" i="4"/>
  <c r="I2673" i="4"/>
  <c r="C2673" i="4"/>
  <c r="C2672" i="4"/>
  <c r="J2671" i="4"/>
  <c r="I2671" i="4"/>
  <c r="C2671" i="4"/>
  <c r="C2670" i="4"/>
  <c r="J2669" i="4"/>
  <c r="I2669" i="4"/>
  <c r="C2669" i="4"/>
  <c r="J2668" i="4"/>
  <c r="I2668" i="4"/>
  <c r="C2668" i="4"/>
  <c r="J2667" i="4"/>
  <c r="I2667" i="4"/>
  <c r="C2667" i="4"/>
  <c r="J2666" i="4"/>
  <c r="I2666" i="4"/>
  <c r="C2666" i="4"/>
  <c r="J2665" i="4"/>
  <c r="I2665" i="4"/>
  <c r="C2665" i="4"/>
  <c r="J2664" i="4"/>
  <c r="I2664" i="4"/>
  <c r="C2664" i="4"/>
  <c r="J2663" i="4"/>
  <c r="I2663" i="4"/>
  <c r="C2663" i="4"/>
  <c r="C2662" i="4"/>
  <c r="J2661" i="4"/>
  <c r="I2661" i="4"/>
  <c r="C2661" i="4"/>
  <c r="J2660" i="4"/>
  <c r="I2660" i="4"/>
  <c r="C2660" i="4"/>
  <c r="J2659" i="4"/>
  <c r="I2659" i="4"/>
  <c r="C2659" i="4"/>
  <c r="J2658" i="4"/>
  <c r="I2658" i="4"/>
  <c r="C2658" i="4"/>
  <c r="J2657" i="4"/>
  <c r="I2657" i="4"/>
  <c r="C2657" i="4"/>
  <c r="C2656" i="4"/>
  <c r="J2655" i="4"/>
  <c r="I2655" i="4"/>
  <c r="C2655" i="4"/>
  <c r="C2654" i="4"/>
  <c r="J2653" i="4"/>
  <c r="I2653" i="4"/>
  <c r="C2653" i="4"/>
  <c r="J2652" i="4"/>
  <c r="I2652" i="4"/>
  <c r="C2652" i="4"/>
  <c r="J2651" i="4"/>
  <c r="I2651" i="4"/>
  <c r="C2651" i="4"/>
  <c r="C2650" i="4"/>
  <c r="J2649" i="4"/>
  <c r="I2649" i="4"/>
  <c r="C2649" i="4"/>
  <c r="J2648" i="4"/>
  <c r="I2648" i="4"/>
  <c r="C2648" i="4"/>
  <c r="J2647" i="4"/>
  <c r="I2647" i="4"/>
  <c r="C2647" i="4"/>
  <c r="J2646" i="4"/>
  <c r="I2646" i="4"/>
  <c r="C2646" i="4"/>
  <c r="J2645" i="4"/>
  <c r="I2645" i="4"/>
  <c r="C2645" i="4"/>
  <c r="J2644" i="4"/>
  <c r="I2644" i="4"/>
  <c r="C2644" i="4"/>
  <c r="J2643" i="4"/>
  <c r="I2643" i="4"/>
  <c r="C2643" i="4"/>
  <c r="C2642" i="4"/>
  <c r="J2641" i="4"/>
  <c r="I2641" i="4"/>
  <c r="C2641" i="4"/>
  <c r="J2640" i="4"/>
  <c r="I2640" i="4"/>
  <c r="C2640" i="4"/>
  <c r="J2639" i="4"/>
  <c r="I2639" i="4"/>
  <c r="C2639" i="4"/>
  <c r="J2638" i="4"/>
  <c r="I2638" i="4"/>
  <c r="C2638" i="4"/>
  <c r="J2637" i="4"/>
  <c r="I2637" i="4"/>
  <c r="C2637" i="4"/>
  <c r="C2636" i="4"/>
  <c r="J2635" i="4"/>
  <c r="I2635" i="4"/>
  <c r="C2635" i="4"/>
  <c r="C2634" i="4"/>
  <c r="J2633" i="4"/>
  <c r="I2633" i="4"/>
  <c r="C2633" i="4"/>
  <c r="J2632" i="4"/>
  <c r="I2632" i="4"/>
  <c r="C2632" i="4"/>
  <c r="J2631" i="4"/>
  <c r="I2631" i="4"/>
  <c r="C2631" i="4"/>
  <c r="J2630" i="4"/>
  <c r="I2630" i="4"/>
  <c r="C2630" i="4"/>
  <c r="J2629" i="4"/>
  <c r="I2629" i="4"/>
  <c r="C2629" i="4"/>
  <c r="J2628" i="4"/>
  <c r="I2628" i="4"/>
  <c r="C2628" i="4"/>
  <c r="J2627" i="4"/>
  <c r="I2627" i="4"/>
  <c r="C2627" i="4"/>
  <c r="C2626" i="4"/>
  <c r="J2625" i="4"/>
  <c r="I2625" i="4"/>
  <c r="C2625" i="4"/>
  <c r="J2624" i="4"/>
  <c r="I2624" i="4"/>
  <c r="C2624" i="4"/>
  <c r="J2623" i="4"/>
  <c r="I2623" i="4"/>
  <c r="C2623" i="4"/>
  <c r="J2622" i="4"/>
  <c r="I2622" i="4"/>
  <c r="C2622" i="4"/>
  <c r="J2621" i="4"/>
  <c r="I2621" i="4"/>
  <c r="C2621" i="4"/>
  <c r="J2620" i="4"/>
  <c r="I2620" i="4"/>
  <c r="C2620" i="4"/>
  <c r="J2619" i="4"/>
  <c r="I2619" i="4"/>
  <c r="C2619" i="4"/>
  <c r="C2618" i="4"/>
  <c r="J2617" i="4"/>
  <c r="I2617" i="4"/>
  <c r="C2617" i="4"/>
  <c r="J2616" i="4"/>
  <c r="I2616" i="4"/>
  <c r="C2616" i="4"/>
  <c r="C2615" i="4"/>
  <c r="J2614" i="4"/>
  <c r="I2614" i="4"/>
  <c r="C2614" i="4"/>
  <c r="C2613" i="4"/>
  <c r="J2612" i="4"/>
  <c r="I2612" i="4"/>
  <c r="C2612" i="4"/>
  <c r="C2611" i="4"/>
  <c r="J2610" i="4"/>
  <c r="I2610" i="4"/>
  <c r="C2610" i="4"/>
  <c r="C2609" i="4"/>
  <c r="J2608" i="4"/>
  <c r="I2608" i="4"/>
  <c r="C2608" i="4"/>
  <c r="J2607" i="4"/>
  <c r="I2607" i="4"/>
  <c r="C2607" i="4"/>
  <c r="J2606" i="4"/>
  <c r="I2606" i="4"/>
  <c r="C2606" i="4"/>
  <c r="J2605" i="4"/>
  <c r="I2605" i="4"/>
  <c r="C2605" i="4"/>
  <c r="J2604" i="4"/>
  <c r="I2604" i="4"/>
  <c r="C2604" i="4"/>
  <c r="C2603" i="4"/>
  <c r="J2602" i="4"/>
  <c r="I2602" i="4"/>
  <c r="C2602" i="4"/>
  <c r="J2601" i="4"/>
  <c r="I2601" i="4"/>
  <c r="C2601" i="4"/>
  <c r="J2600" i="4"/>
  <c r="I2600" i="4"/>
  <c r="C2600" i="4"/>
  <c r="J2599" i="4"/>
  <c r="I2599" i="4"/>
  <c r="C2599" i="4"/>
  <c r="J2598" i="4"/>
  <c r="I2598" i="4"/>
  <c r="C2598" i="4"/>
  <c r="J2597" i="4"/>
  <c r="I2597" i="4"/>
  <c r="C2597" i="4"/>
  <c r="J2596" i="4"/>
  <c r="I2596" i="4"/>
  <c r="C2596" i="4"/>
  <c r="C2595" i="4"/>
  <c r="J2594" i="4"/>
  <c r="I2594" i="4"/>
  <c r="C2594" i="4"/>
  <c r="J2593" i="4"/>
  <c r="I2593" i="4"/>
  <c r="C2593" i="4"/>
  <c r="J2592" i="4"/>
  <c r="I2592" i="4"/>
  <c r="C2592" i="4"/>
  <c r="J2591" i="4"/>
  <c r="I2591" i="4"/>
  <c r="C2591" i="4"/>
  <c r="J2590" i="4"/>
  <c r="I2590" i="4"/>
  <c r="C2590" i="4"/>
  <c r="J2589" i="4"/>
  <c r="I2589" i="4"/>
  <c r="C2589" i="4"/>
  <c r="J2588" i="4"/>
  <c r="I2588" i="4"/>
  <c r="C2588" i="4"/>
  <c r="C2587" i="4"/>
  <c r="J2586" i="4"/>
  <c r="I2586" i="4"/>
  <c r="C2586" i="4"/>
  <c r="J2585" i="4"/>
  <c r="I2585" i="4"/>
  <c r="C2585" i="4"/>
  <c r="J2584" i="4"/>
  <c r="I2584" i="4"/>
  <c r="C2584" i="4"/>
  <c r="J2583" i="4"/>
  <c r="I2583" i="4"/>
  <c r="C2583" i="4"/>
  <c r="J2582" i="4"/>
  <c r="I2582" i="4"/>
  <c r="C2582" i="4"/>
  <c r="J2581" i="4"/>
  <c r="I2581" i="4"/>
  <c r="C2581" i="4"/>
  <c r="J2580" i="4"/>
  <c r="I2580" i="4"/>
  <c r="C2580" i="4"/>
  <c r="C2579" i="4"/>
  <c r="J2578" i="4"/>
  <c r="I2578" i="4"/>
  <c r="C2578" i="4"/>
  <c r="J2577" i="4"/>
  <c r="I2577" i="4"/>
  <c r="C2577" i="4"/>
  <c r="J2576" i="4"/>
  <c r="I2576" i="4"/>
  <c r="C2576" i="4"/>
  <c r="J2575" i="4"/>
  <c r="I2575" i="4"/>
  <c r="C2575" i="4"/>
  <c r="J2574" i="4"/>
  <c r="I2574" i="4"/>
  <c r="C2574" i="4"/>
  <c r="J2573" i="4"/>
  <c r="I2573" i="4"/>
  <c r="C2573" i="4"/>
  <c r="J2572" i="4"/>
  <c r="I2572" i="4"/>
  <c r="C2572" i="4"/>
  <c r="C2571" i="4"/>
  <c r="J2570" i="4"/>
  <c r="I2570" i="4"/>
  <c r="C2570" i="4"/>
  <c r="J2569" i="4"/>
  <c r="I2569" i="4"/>
  <c r="C2569" i="4"/>
  <c r="J2568" i="4"/>
  <c r="I2568" i="4"/>
  <c r="C2568" i="4"/>
  <c r="J2567" i="4"/>
  <c r="I2567" i="4"/>
  <c r="C2567" i="4"/>
  <c r="J2566" i="4"/>
  <c r="I2566" i="4"/>
  <c r="C2566" i="4"/>
  <c r="J2565" i="4"/>
  <c r="I2565" i="4"/>
  <c r="C2565" i="4"/>
  <c r="J2564" i="4"/>
  <c r="I2564" i="4"/>
  <c r="C2564" i="4"/>
  <c r="C2563" i="4"/>
  <c r="J2562" i="4"/>
  <c r="I2562" i="4"/>
  <c r="C2562" i="4"/>
  <c r="J2561" i="4"/>
  <c r="I2561" i="4"/>
  <c r="C2561" i="4"/>
  <c r="J2560" i="4"/>
  <c r="I2560" i="4"/>
  <c r="C2560" i="4"/>
  <c r="J2559" i="4"/>
  <c r="I2559" i="4"/>
  <c r="C2559" i="4"/>
  <c r="J2558" i="4"/>
  <c r="I2558" i="4"/>
  <c r="C2558" i="4"/>
  <c r="J2557" i="4"/>
  <c r="I2557" i="4"/>
  <c r="C2557" i="4"/>
  <c r="C2556" i="4"/>
  <c r="J2555" i="4"/>
  <c r="I2555" i="4"/>
  <c r="C2555" i="4"/>
  <c r="J2554" i="4"/>
  <c r="I2554" i="4"/>
  <c r="C2554" i="4"/>
  <c r="J2553" i="4"/>
  <c r="I2553" i="4"/>
  <c r="C2553" i="4"/>
  <c r="J2552" i="4"/>
  <c r="I2552" i="4"/>
  <c r="C2552" i="4"/>
  <c r="J2551" i="4"/>
  <c r="I2551" i="4"/>
  <c r="C2551" i="4"/>
  <c r="J2550" i="4"/>
  <c r="I2550" i="4"/>
  <c r="C2550" i="4"/>
  <c r="J2549" i="4"/>
  <c r="I2549" i="4"/>
  <c r="C2549" i="4"/>
  <c r="C2548" i="4"/>
  <c r="J2547" i="4"/>
  <c r="I2547" i="4"/>
  <c r="C2547" i="4"/>
  <c r="J2546" i="4"/>
  <c r="I2546" i="4"/>
  <c r="C2546" i="4"/>
  <c r="J2545" i="4"/>
  <c r="I2545" i="4"/>
  <c r="C2545" i="4"/>
  <c r="J2544" i="4"/>
  <c r="I2544" i="4"/>
  <c r="C2544" i="4"/>
  <c r="J2543" i="4"/>
  <c r="I2543" i="4"/>
  <c r="C2543" i="4"/>
  <c r="J2542" i="4"/>
  <c r="I2542" i="4"/>
  <c r="C2542" i="4"/>
  <c r="J2541" i="4"/>
  <c r="I2541" i="4"/>
  <c r="C2541" i="4"/>
  <c r="C2540" i="4"/>
  <c r="J2539" i="4"/>
  <c r="I2539" i="4"/>
  <c r="C2539" i="4"/>
  <c r="J2538" i="4"/>
  <c r="I2538" i="4"/>
  <c r="C2538" i="4"/>
  <c r="J2537" i="4"/>
  <c r="I2537" i="4"/>
  <c r="C2537" i="4"/>
  <c r="J2536" i="4"/>
  <c r="I2536" i="4"/>
  <c r="C2536" i="4"/>
  <c r="J2535" i="4"/>
  <c r="I2535" i="4"/>
  <c r="C2535" i="4"/>
  <c r="J2534" i="4"/>
  <c r="I2534" i="4"/>
  <c r="C2534" i="4"/>
  <c r="J2533" i="4"/>
  <c r="I2533" i="4"/>
  <c r="C2533" i="4"/>
  <c r="C2532" i="4"/>
  <c r="J2531" i="4"/>
  <c r="I2531" i="4"/>
  <c r="C2531" i="4"/>
  <c r="J2530" i="4"/>
  <c r="I2530" i="4"/>
  <c r="C2530" i="4"/>
  <c r="J2529" i="4"/>
  <c r="I2529" i="4"/>
  <c r="C2529" i="4"/>
  <c r="J2528" i="4"/>
  <c r="I2528" i="4"/>
  <c r="C2528" i="4"/>
  <c r="J2527" i="4"/>
  <c r="I2527" i="4"/>
  <c r="C2527" i="4"/>
  <c r="J2526" i="4"/>
  <c r="I2526" i="4"/>
  <c r="C2526" i="4"/>
  <c r="J2525" i="4"/>
  <c r="I2525" i="4"/>
  <c r="C2525" i="4"/>
  <c r="C2524" i="4"/>
  <c r="J2523" i="4"/>
  <c r="I2523" i="4"/>
  <c r="C2523" i="4"/>
  <c r="J2522" i="4"/>
  <c r="I2522" i="4"/>
  <c r="C2522" i="4"/>
  <c r="J2521" i="4"/>
  <c r="I2521" i="4"/>
  <c r="C2521" i="4"/>
  <c r="J2520" i="4"/>
  <c r="I2520" i="4"/>
  <c r="C2520" i="4"/>
  <c r="J2519" i="4"/>
  <c r="I2519" i="4"/>
  <c r="C2519" i="4"/>
  <c r="J2518" i="4"/>
  <c r="I2518" i="4"/>
  <c r="C2518" i="4"/>
  <c r="J2517" i="4"/>
  <c r="I2517" i="4"/>
  <c r="C2517" i="4"/>
  <c r="C2516" i="4"/>
  <c r="J2515" i="4"/>
  <c r="I2515" i="4"/>
  <c r="C2515" i="4"/>
  <c r="J2514" i="4"/>
  <c r="I2514" i="4"/>
  <c r="C2514" i="4"/>
  <c r="J2513" i="4"/>
  <c r="I2513" i="4"/>
  <c r="C2513" i="4"/>
  <c r="J2512" i="4"/>
  <c r="I2512" i="4"/>
  <c r="C2512" i="4"/>
  <c r="J2511" i="4"/>
  <c r="I2511" i="4"/>
  <c r="C2511" i="4"/>
  <c r="J2510" i="4"/>
  <c r="I2510" i="4"/>
  <c r="C2510" i="4"/>
  <c r="J2509" i="4"/>
  <c r="I2509" i="4"/>
  <c r="C2509" i="4"/>
  <c r="C2508" i="4"/>
  <c r="C2507" i="4"/>
  <c r="J2506" i="4"/>
  <c r="I2506" i="4"/>
  <c r="C2506" i="4"/>
  <c r="J2505" i="4"/>
  <c r="I2505" i="4"/>
  <c r="C2505" i="4"/>
  <c r="J2504" i="4"/>
  <c r="I2504" i="4"/>
  <c r="C2504" i="4"/>
  <c r="J2503" i="4"/>
  <c r="I2503" i="4"/>
  <c r="C2503" i="4"/>
  <c r="J2502" i="4"/>
  <c r="I2502" i="4"/>
  <c r="C2502" i="4"/>
  <c r="J2501" i="4"/>
  <c r="I2501" i="4"/>
  <c r="C2501" i="4"/>
  <c r="J2500" i="4"/>
  <c r="I2500" i="4"/>
  <c r="C2500" i="4"/>
  <c r="C2499" i="4"/>
  <c r="J2498" i="4"/>
  <c r="I2498" i="4"/>
  <c r="C2498" i="4"/>
  <c r="J2497" i="4"/>
  <c r="I2497" i="4"/>
  <c r="C2497" i="4"/>
  <c r="J2496" i="4"/>
  <c r="I2496" i="4"/>
  <c r="C2496" i="4"/>
  <c r="J2495" i="4"/>
  <c r="I2495" i="4"/>
  <c r="C2495" i="4"/>
  <c r="C2494" i="4"/>
  <c r="J2493" i="4"/>
  <c r="I2493" i="4"/>
  <c r="C2493" i="4"/>
  <c r="J2492" i="4"/>
  <c r="I2492" i="4"/>
  <c r="C2492" i="4"/>
  <c r="J2491" i="4"/>
  <c r="I2491" i="4"/>
  <c r="C2491" i="4"/>
  <c r="C2490" i="4"/>
  <c r="J2489" i="4"/>
  <c r="I2489" i="4"/>
  <c r="C2489" i="4"/>
  <c r="J2488" i="4"/>
  <c r="I2488" i="4"/>
  <c r="C2488" i="4"/>
  <c r="J2487" i="4"/>
  <c r="I2487" i="4"/>
  <c r="C2487" i="4"/>
  <c r="J2486" i="4"/>
  <c r="I2486" i="4"/>
  <c r="C2486" i="4"/>
  <c r="J2485" i="4"/>
  <c r="I2485" i="4"/>
  <c r="C2485" i="4"/>
  <c r="J2484" i="4"/>
  <c r="I2484" i="4"/>
  <c r="C2484" i="4"/>
  <c r="J2483" i="4"/>
  <c r="I2483" i="4"/>
  <c r="C2483" i="4"/>
  <c r="C2482" i="4"/>
  <c r="J2481" i="4"/>
  <c r="I2481" i="4"/>
  <c r="C2481" i="4"/>
  <c r="J2480" i="4"/>
  <c r="I2480" i="4"/>
  <c r="C2480" i="4"/>
  <c r="C2479" i="4"/>
  <c r="J2478" i="4"/>
  <c r="I2478" i="4"/>
  <c r="C2478" i="4"/>
  <c r="J2477" i="4"/>
  <c r="I2477" i="4"/>
  <c r="C2477" i="4"/>
  <c r="J2476" i="4"/>
  <c r="I2476" i="4"/>
  <c r="C2476" i="4"/>
  <c r="J2475" i="4"/>
  <c r="I2475" i="4"/>
  <c r="C2475" i="4"/>
  <c r="J2474" i="4"/>
  <c r="I2474" i="4"/>
  <c r="C2474" i="4"/>
  <c r="J2473" i="4"/>
  <c r="I2473" i="4"/>
  <c r="C2473" i="4"/>
  <c r="J2472" i="4"/>
  <c r="I2472" i="4"/>
  <c r="C2472" i="4"/>
  <c r="C2471" i="4"/>
  <c r="J2470" i="4"/>
  <c r="I2470" i="4"/>
  <c r="C2470" i="4"/>
  <c r="J2469" i="4"/>
  <c r="I2469" i="4"/>
  <c r="C2469" i="4"/>
  <c r="J2468" i="4"/>
  <c r="I2468" i="4"/>
  <c r="C2468" i="4"/>
  <c r="J2467" i="4"/>
  <c r="I2467" i="4"/>
  <c r="C2467" i="4"/>
  <c r="C2466" i="4"/>
  <c r="J2465" i="4"/>
  <c r="I2465" i="4"/>
  <c r="C2465" i="4"/>
  <c r="J2464" i="4"/>
  <c r="I2464" i="4"/>
  <c r="C2464" i="4"/>
  <c r="J2463" i="4"/>
  <c r="I2463" i="4"/>
  <c r="C2463" i="4"/>
  <c r="J2462" i="4"/>
  <c r="I2462" i="4"/>
  <c r="C2462" i="4"/>
  <c r="J2461" i="4"/>
  <c r="I2461" i="4"/>
  <c r="C2461" i="4"/>
  <c r="J2460" i="4"/>
  <c r="I2460" i="4"/>
  <c r="C2460" i="4"/>
  <c r="J2459" i="4"/>
  <c r="I2459" i="4"/>
  <c r="C2459" i="4"/>
  <c r="C2458" i="4"/>
  <c r="J2457" i="4"/>
  <c r="I2457" i="4"/>
  <c r="C2457" i="4"/>
  <c r="J2456" i="4"/>
  <c r="I2456" i="4"/>
  <c r="C2456" i="4"/>
  <c r="J2455" i="4"/>
  <c r="I2455" i="4"/>
  <c r="C2455" i="4"/>
  <c r="J2454" i="4"/>
  <c r="I2454" i="4"/>
  <c r="C2454" i="4"/>
  <c r="J2453" i="4"/>
  <c r="I2453" i="4"/>
  <c r="C2453" i="4"/>
  <c r="J2452" i="4"/>
  <c r="I2452" i="4"/>
  <c r="C2452" i="4"/>
  <c r="J2451" i="4"/>
  <c r="I2451" i="4"/>
  <c r="C2451" i="4"/>
  <c r="C2450" i="4"/>
  <c r="J2449" i="4"/>
  <c r="I2449" i="4"/>
  <c r="C2449" i="4"/>
  <c r="J2448" i="4"/>
  <c r="I2448" i="4"/>
  <c r="C2448" i="4"/>
  <c r="J2447" i="4"/>
  <c r="I2447" i="4"/>
  <c r="C2447" i="4"/>
  <c r="J2446" i="4"/>
  <c r="I2446" i="4"/>
  <c r="C2446" i="4"/>
  <c r="J2445" i="4"/>
  <c r="I2445" i="4"/>
  <c r="C2445" i="4"/>
  <c r="J2444" i="4"/>
  <c r="I2444" i="4"/>
  <c r="C2444" i="4"/>
  <c r="J2443" i="4"/>
  <c r="I2443" i="4"/>
  <c r="C2443" i="4"/>
  <c r="C2442" i="4"/>
  <c r="J2441" i="4"/>
  <c r="I2441" i="4"/>
  <c r="C2441" i="4"/>
  <c r="J2440" i="4"/>
  <c r="I2440" i="4"/>
  <c r="C2440" i="4"/>
  <c r="J2439" i="4"/>
  <c r="I2439" i="4"/>
  <c r="C2439" i="4"/>
  <c r="C2438" i="4"/>
  <c r="J2437" i="4"/>
  <c r="I2437" i="4"/>
  <c r="C2437" i="4"/>
  <c r="J2436" i="4"/>
  <c r="I2436" i="4"/>
  <c r="C2436" i="4"/>
  <c r="J2435" i="4"/>
  <c r="I2435" i="4"/>
  <c r="C2435" i="4"/>
  <c r="J2434" i="4"/>
  <c r="I2434" i="4"/>
  <c r="C2434" i="4"/>
  <c r="J2433" i="4"/>
  <c r="I2433" i="4"/>
  <c r="C2433" i="4"/>
  <c r="J2432" i="4"/>
  <c r="I2432" i="4"/>
  <c r="C2432" i="4"/>
  <c r="J2431" i="4"/>
  <c r="I2431" i="4"/>
  <c r="C2431" i="4"/>
  <c r="C2430" i="4"/>
  <c r="J2429" i="4"/>
  <c r="I2429" i="4"/>
  <c r="C2429" i="4"/>
  <c r="J2428" i="4"/>
  <c r="I2428" i="4"/>
  <c r="C2428" i="4"/>
  <c r="C2427" i="4"/>
  <c r="J2426" i="4"/>
  <c r="I2426" i="4"/>
  <c r="C2426" i="4"/>
  <c r="J2425" i="4"/>
  <c r="I2425" i="4"/>
  <c r="C2425" i="4"/>
  <c r="J2424" i="4"/>
  <c r="I2424" i="4"/>
  <c r="C2424" i="4"/>
  <c r="J2423" i="4"/>
  <c r="I2423" i="4"/>
  <c r="C2423" i="4"/>
  <c r="J2422" i="4"/>
  <c r="I2422" i="4"/>
  <c r="C2422" i="4"/>
  <c r="J2421" i="4"/>
  <c r="I2421" i="4"/>
  <c r="C2421" i="4"/>
  <c r="J2420" i="4"/>
  <c r="I2420" i="4"/>
  <c r="C2420" i="4"/>
  <c r="C2419" i="4"/>
  <c r="J2418" i="4"/>
  <c r="I2418" i="4"/>
  <c r="C2418" i="4"/>
  <c r="J2417" i="4"/>
  <c r="I2417" i="4"/>
  <c r="C2417" i="4"/>
  <c r="J2416" i="4"/>
  <c r="I2416" i="4"/>
  <c r="C2416" i="4"/>
  <c r="J2415" i="4"/>
  <c r="I2415" i="4"/>
  <c r="C2415" i="4"/>
  <c r="J2414" i="4"/>
  <c r="I2414" i="4"/>
  <c r="C2414" i="4"/>
  <c r="J2413" i="4"/>
  <c r="I2413" i="4"/>
  <c r="C2413" i="4"/>
  <c r="J2412" i="4"/>
  <c r="I2412" i="4"/>
  <c r="C2412" i="4"/>
  <c r="C2411" i="4"/>
  <c r="J2410" i="4"/>
  <c r="I2410" i="4"/>
  <c r="C2410" i="4"/>
  <c r="J2409" i="4"/>
  <c r="I2409" i="4"/>
  <c r="C2409" i="4"/>
  <c r="J2408" i="4"/>
  <c r="I2408" i="4"/>
  <c r="C2408" i="4"/>
  <c r="J2407" i="4"/>
  <c r="I2407" i="4"/>
  <c r="C2407" i="4"/>
  <c r="J2406" i="4"/>
  <c r="I2406" i="4"/>
  <c r="C2406" i="4"/>
  <c r="J2405" i="4"/>
  <c r="I2405" i="4"/>
  <c r="C2405" i="4"/>
  <c r="J2404" i="4"/>
  <c r="I2404" i="4"/>
  <c r="C2404" i="4"/>
  <c r="C2403" i="4"/>
  <c r="J2402" i="4"/>
  <c r="I2402" i="4"/>
  <c r="C2402" i="4"/>
  <c r="J2401" i="4"/>
  <c r="I2401" i="4"/>
  <c r="C2401" i="4"/>
  <c r="J2400" i="4"/>
  <c r="I2400" i="4"/>
  <c r="C2400" i="4"/>
  <c r="J2399" i="4"/>
  <c r="I2399" i="4"/>
  <c r="C2399" i="4"/>
  <c r="J2398" i="4"/>
  <c r="I2398" i="4"/>
  <c r="C2398" i="4"/>
  <c r="J2397" i="4"/>
  <c r="I2397" i="4"/>
  <c r="C2397" i="4"/>
  <c r="J2396" i="4"/>
  <c r="I2396" i="4"/>
  <c r="C2396" i="4"/>
  <c r="C2395" i="4"/>
  <c r="J2394" i="4"/>
  <c r="I2394" i="4"/>
  <c r="C2394" i="4"/>
  <c r="J2393" i="4"/>
  <c r="I2393" i="4"/>
  <c r="C2393" i="4"/>
  <c r="C2392" i="4"/>
  <c r="C2391" i="4"/>
  <c r="J2390" i="4"/>
  <c r="I2390" i="4"/>
  <c r="C2390" i="4"/>
  <c r="J2389" i="4"/>
  <c r="I2389" i="4"/>
  <c r="C2389" i="4"/>
  <c r="J2388" i="4"/>
  <c r="I2388" i="4"/>
  <c r="C2388" i="4"/>
  <c r="C2387" i="4"/>
  <c r="J2386" i="4"/>
  <c r="I2386" i="4"/>
  <c r="C2386" i="4"/>
  <c r="J2385" i="4"/>
  <c r="I2385" i="4"/>
  <c r="C2385" i="4"/>
  <c r="J2384" i="4"/>
  <c r="I2384" i="4"/>
  <c r="C2384" i="4"/>
  <c r="C2383" i="4"/>
  <c r="J2382" i="4"/>
  <c r="I2382" i="4"/>
  <c r="C2382" i="4"/>
  <c r="J2381" i="4"/>
  <c r="I2381" i="4"/>
  <c r="C2381" i="4"/>
  <c r="C2380" i="4"/>
  <c r="J2379" i="4"/>
  <c r="I2379" i="4"/>
  <c r="C2379" i="4"/>
  <c r="J2378" i="4"/>
  <c r="I2378" i="4"/>
  <c r="C2378" i="4"/>
  <c r="J2377" i="4"/>
  <c r="I2377" i="4"/>
  <c r="C2377" i="4"/>
  <c r="J2376" i="4"/>
  <c r="I2376" i="4"/>
  <c r="C2376" i="4"/>
  <c r="J2375" i="4"/>
  <c r="I2375" i="4"/>
  <c r="C2375" i="4"/>
  <c r="J2374" i="4"/>
  <c r="I2374" i="4"/>
  <c r="C2374" i="4"/>
  <c r="J2373" i="4"/>
  <c r="I2373" i="4"/>
  <c r="C2373" i="4"/>
  <c r="C2372" i="4"/>
  <c r="J2371" i="4"/>
  <c r="I2371" i="4"/>
  <c r="C2371" i="4"/>
  <c r="J2370" i="4"/>
  <c r="I2370" i="4"/>
  <c r="C2370" i="4"/>
  <c r="J2369" i="4"/>
  <c r="I2369" i="4"/>
  <c r="C2369" i="4"/>
  <c r="J2368" i="4"/>
  <c r="I2368" i="4"/>
  <c r="C2368" i="4"/>
  <c r="J2367" i="4"/>
  <c r="I2367" i="4"/>
  <c r="C2367" i="4"/>
  <c r="J2366" i="4"/>
  <c r="I2366" i="4"/>
  <c r="C2366" i="4"/>
  <c r="J2365" i="4"/>
  <c r="I2365" i="4"/>
  <c r="C2365" i="4"/>
  <c r="C2364" i="4"/>
  <c r="C2363" i="4"/>
  <c r="C2362" i="4"/>
  <c r="J2361" i="4"/>
  <c r="I2361" i="4"/>
  <c r="C2361" i="4"/>
  <c r="C2360" i="4"/>
  <c r="J2359" i="4"/>
  <c r="I2359" i="4"/>
  <c r="C2359" i="4"/>
  <c r="J2358" i="4"/>
  <c r="I2358" i="4"/>
  <c r="C2358" i="4"/>
  <c r="C2357" i="4"/>
  <c r="J2356" i="4"/>
  <c r="I2356" i="4"/>
  <c r="C2356" i="4"/>
  <c r="J2355" i="4"/>
  <c r="I2355" i="4"/>
  <c r="C2355" i="4"/>
  <c r="C2354" i="4"/>
  <c r="J2353" i="4"/>
  <c r="I2353" i="4"/>
  <c r="C2353" i="4"/>
  <c r="J2352" i="4"/>
  <c r="I2352" i="4"/>
  <c r="C2352" i="4"/>
  <c r="J2351" i="4"/>
  <c r="I2351" i="4"/>
  <c r="C2351" i="4"/>
  <c r="J2350" i="4"/>
  <c r="I2350" i="4"/>
  <c r="C2350" i="4"/>
  <c r="J2349" i="4"/>
  <c r="I2349" i="4"/>
  <c r="C2349" i="4"/>
  <c r="J2348" i="4"/>
  <c r="I2348" i="4"/>
  <c r="C2348" i="4"/>
  <c r="J2347" i="4"/>
  <c r="I2347" i="4"/>
  <c r="C2347" i="4"/>
  <c r="C2346" i="4"/>
  <c r="J2345" i="4"/>
  <c r="I2345" i="4"/>
  <c r="C2345" i="4"/>
  <c r="J2344" i="4"/>
  <c r="I2344" i="4"/>
  <c r="C2344" i="4"/>
  <c r="J2343" i="4"/>
  <c r="I2343" i="4"/>
  <c r="C2343" i="4"/>
  <c r="J2342" i="4"/>
  <c r="I2342" i="4"/>
  <c r="C2342" i="4"/>
  <c r="C2341" i="4"/>
  <c r="J2340" i="4"/>
  <c r="I2340" i="4"/>
  <c r="C2340" i="4"/>
  <c r="J2339" i="4"/>
  <c r="I2339" i="4"/>
  <c r="C2339" i="4"/>
  <c r="J2338" i="4"/>
  <c r="I2338" i="4"/>
  <c r="C2338" i="4"/>
  <c r="J2337" i="4"/>
  <c r="I2337" i="4"/>
  <c r="C2337" i="4"/>
  <c r="J2336" i="4"/>
  <c r="I2336" i="4"/>
  <c r="C2336" i="4"/>
  <c r="C2335" i="4"/>
  <c r="J2334" i="4"/>
  <c r="I2334" i="4"/>
  <c r="C2334" i="4"/>
  <c r="J2333" i="4"/>
  <c r="I2333" i="4"/>
  <c r="C2333" i="4"/>
  <c r="J2332" i="4"/>
  <c r="I2332" i="4"/>
  <c r="C2332" i="4"/>
  <c r="C2331" i="4"/>
  <c r="J2330" i="4"/>
  <c r="I2330" i="4"/>
  <c r="C2330" i="4"/>
  <c r="J2329" i="4"/>
  <c r="I2329" i="4"/>
  <c r="C2329" i="4"/>
  <c r="J2328" i="4"/>
  <c r="I2328" i="4"/>
  <c r="C2328" i="4"/>
  <c r="J2327" i="4"/>
  <c r="I2327" i="4"/>
  <c r="C2327" i="4"/>
  <c r="C2326" i="4"/>
  <c r="J2325" i="4"/>
  <c r="I2325" i="4"/>
  <c r="C2325" i="4"/>
  <c r="J2324" i="4"/>
  <c r="I2324" i="4"/>
  <c r="C2324" i="4"/>
  <c r="J2323" i="4"/>
  <c r="I2323" i="4"/>
  <c r="C2323" i="4"/>
  <c r="J2322" i="4"/>
  <c r="I2322" i="4"/>
  <c r="C2322" i="4"/>
  <c r="J2321" i="4"/>
  <c r="I2321" i="4"/>
  <c r="C2321" i="4"/>
  <c r="J2320" i="4"/>
  <c r="I2320" i="4"/>
  <c r="C2320" i="4"/>
  <c r="J2319" i="4"/>
  <c r="I2319" i="4"/>
  <c r="C2319" i="4"/>
  <c r="C2318" i="4"/>
  <c r="J2317" i="4"/>
  <c r="I2317" i="4"/>
  <c r="C2317" i="4"/>
  <c r="J2316" i="4"/>
  <c r="I2316" i="4"/>
  <c r="C2316" i="4"/>
  <c r="J2315" i="4"/>
  <c r="I2315" i="4"/>
  <c r="C2315" i="4"/>
  <c r="J2314" i="4"/>
  <c r="I2314" i="4"/>
  <c r="C2314" i="4"/>
  <c r="J2313" i="4"/>
  <c r="I2313" i="4"/>
  <c r="C2313" i="4"/>
  <c r="J2312" i="4"/>
  <c r="I2312" i="4"/>
  <c r="C2312" i="4"/>
  <c r="J2311" i="4"/>
  <c r="I2311" i="4"/>
  <c r="C2311" i="4"/>
  <c r="C2310" i="4"/>
  <c r="J2309" i="4"/>
  <c r="I2309" i="4"/>
  <c r="C2309" i="4"/>
  <c r="J2308" i="4"/>
  <c r="I2308" i="4"/>
  <c r="C2308" i="4"/>
  <c r="J2307" i="4"/>
  <c r="I2307" i="4"/>
  <c r="C2307" i="4"/>
  <c r="J2306" i="4"/>
  <c r="I2306" i="4"/>
  <c r="C2306" i="4"/>
  <c r="J2305" i="4"/>
  <c r="I2305" i="4"/>
  <c r="C2305" i="4"/>
  <c r="C2304" i="4"/>
  <c r="J2303" i="4"/>
  <c r="I2303" i="4"/>
  <c r="C2303" i="4"/>
  <c r="J2302" i="4"/>
  <c r="I2302" i="4"/>
  <c r="C2302" i="4"/>
  <c r="J2301" i="4"/>
  <c r="I2301" i="4"/>
  <c r="C2301" i="4"/>
  <c r="J2300" i="4"/>
  <c r="I2300" i="4"/>
  <c r="C2300" i="4"/>
  <c r="J2299" i="4"/>
  <c r="I2299" i="4"/>
  <c r="C2299" i="4"/>
  <c r="J2298" i="4"/>
  <c r="I2298" i="4"/>
  <c r="C2298" i="4"/>
  <c r="C2297" i="4"/>
  <c r="J2296" i="4"/>
  <c r="I2296" i="4"/>
  <c r="C2296" i="4"/>
  <c r="J2295" i="4"/>
  <c r="I2295" i="4"/>
  <c r="C2295" i="4"/>
  <c r="J2294" i="4"/>
  <c r="I2294" i="4"/>
  <c r="C2294" i="4"/>
  <c r="J2293" i="4"/>
  <c r="I2293" i="4"/>
  <c r="C2293" i="4"/>
  <c r="J2292" i="4"/>
  <c r="I2292" i="4"/>
  <c r="C2292" i="4"/>
  <c r="J2291" i="4"/>
  <c r="I2291" i="4"/>
  <c r="C2291" i="4"/>
  <c r="J2290" i="4"/>
  <c r="I2290" i="4"/>
  <c r="C2290" i="4"/>
  <c r="C2289" i="4"/>
  <c r="J2288" i="4"/>
  <c r="I2288" i="4"/>
  <c r="C2288" i="4"/>
  <c r="J2287" i="4"/>
  <c r="I2287" i="4"/>
  <c r="C2287" i="4"/>
  <c r="J2286" i="4"/>
  <c r="I2286" i="4"/>
  <c r="C2286" i="4"/>
  <c r="J2285" i="4"/>
  <c r="I2285" i="4"/>
  <c r="C2285" i="4"/>
  <c r="J2284" i="4"/>
  <c r="I2284" i="4"/>
  <c r="C2284" i="4"/>
  <c r="J2283" i="4"/>
  <c r="I2283" i="4"/>
  <c r="C2283" i="4"/>
  <c r="J2282" i="4"/>
  <c r="I2282" i="4"/>
  <c r="C2282" i="4"/>
  <c r="C2281" i="4"/>
  <c r="J2280" i="4"/>
  <c r="I2280" i="4"/>
  <c r="C2280" i="4"/>
  <c r="J2279" i="4"/>
  <c r="I2279" i="4"/>
  <c r="C2279" i="4"/>
  <c r="J2278" i="4"/>
  <c r="I2278" i="4"/>
  <c r="C2278" i="4"/>
  <c r="J2277" i="4"/>
  <c r="I2277" i="4"/>
  <c r="C2277" i="4"/>
  <c r="J2276" i="4"/>
  <c r="I2276" i="4"/>
  <c r="C2276" i="4"/>
  <c r="J2275" i="4"/>
  <c r="I2275" i="4"/>
  <c r="C2275" i="4"/>
  <c r="J2274" i="4"/>
  <c r="I2274" i="4"/>
  <c r="C2274" i="4"/>
  <c r="C2273" i="4"/>
  <c r="J2272" i="4"/>
  <c r="I2272" i="4"/>
  <c r="C2272" i="4"/>
  <c r="J2271" i="4"/>
  <c r="I2271" i="4"/>
  <c r="C2271" i="4"/>
  <c r="J2270" i="4"/>
  <c r="I2270" i="4"/>
  <c r="C2270" i="4"/>
  <c r="C2269" i="4"/>
  <c r="J2268" i="4"/>
  <c r="I2268" i="4"/>
  <c r="C2268" i="4"/>
  <c r="J2267" i="4"/>
  <c r="I2267" i="4"/>
  <c r="C2267" i="4"/>
  <c r="J2266" i="4"/>
  <c r="I2266" i="4"/>
  <c r="C2266" i="4"/>
  <c r="J2265" i="4"/>
  <c r="I2265" i="4"/>
  <c r="C2265" i="4"/>
  <c r="J2264" i="4"/>
  <c r="I2264" i="4"/>
  <c r="C2264" i="4"/>
  <c r="J2263" i="4"/>
  <c r="I2263" i="4"/>
  <c r="C2263" i="4"/>
  <c r="J2262" i="4"/>
  <c r="I2262" i="4"/>
  <c r="C2262" i="4"/>
  <c r="C2261" i="4"/>
  <c r="J2260" i="4"/>
  <c r="I2260" i="4"/>
  <c r="C2260" i="4"/>
  <c r="C2259" i="4"/>
  <c r="J2258" i="4"/>
  <c r="I2258" i="4"/>
  <c r="C2258" i="4"/>
  <c r="J2257" i="4"/>
  <c r="I2257" i="4"/>
  <c r="C2257" i="4"/>
  <c r="J2256" i="4"/>
  <c r="I2256" i="4"/>
  <c r="C2256" i="4"/>
  <c r="J2255" i="4"/>
  <c r="I2255" i="4"/>
  <c r="C2255" i="4"/>
  <c r="J2254" i="4"/>
  <c r="I2254" i="4"/>
  <c r="C2254" i="4"/>
  <c r="C2253" i="4"/>
  <c r="J2252" i="4"/>
  <c r="I2252" i="4"/>
  <c r="C2252" i="4"/>
  <c r="C2251" i="4"/>
  <c r="J2250" i="4"/>
  <c r="I2250" i="4"/>
  <c r="C2250" i="4"/>
  <c r="J2249" i="4"/>
  <c r="I2249" i="4"/>
  <c r="C2249" i="4"/>
  <c r="J2248" i="4"/>
  <c r="I2248" i="4"/>
  <c r="C2248" i="4"/>
  <c r="J2247" i="4"/>
  <c r="I2247" i="4"/>
  <c r="C2247" i="4"/>
  <c r="J2246" i="4"/>
  <c r="I2246" i="4"/>
  <c r="C2246" i="4"/>
  <c r="J2245" i="4"/>
  <c r="I2245" i="4"/>
  <c r="C2245" i="4"/>
  <c r="J2244" i="4"/>
  <c r="I2244" i="4"/>
  <c r="C2244" i="4"/>
  <c r="C2243" i="4"/>
  <c r="J2242" i="4"/>
  <c r="I2242" i="4"/>
  <c r="C2242" i="4"/>
  <c r="J2241" i="4"/>
  <c r="I2241" i="4"/>
  <c r="C2241" i="4"/>
  <c r="J2240" i="4"/>
  <c r="I2240" i="4"/>
  <c r="C2240" i="4"/>
  <c r="J2239" i="4"/>
  <c r="I2239" i="4"/>
  <c r="C2239" i="4"/>
  <c r="J2238" i="4"/>
  <c r="I2238" i="4"/>
  <c r="C2238" i="4"/>
  <c r="J2237" i="4"/>
  <c r="I2237" i="4"/>
  <c r="C2237" i="4"/>
  <c r="J2236" i="4"/>
  <c r="I2236" i="4"/>
  <c r="C2236" i="4"/>
  <c r="C2235" i="4"/>
  <c r="J2234" i="4"/>
  <c r="I2234" i="4"/>
  <c r="C2234" i="4"/>
  <c r="J2233" i="4"/>
  <c r="I2233" i="4"/>
  <c r="C2233" i="4"/>
  <c r="J2232" i="4"/>
  <c r="I2232" i="4"/>
  <c r="C2232" i="4"/>
  <c r="J2231" i="4"/>
  <c r="I2231" i="4"/>
  <c r="C2231" i="4"/>
  <c r="C2230" i="4"/>
  <c r="J2229" i="4"/>
  <c r="I2229" i="4"/>
  <c r="C2229" i="4"/>
  <c r="J2228" i="4"/>
  <c r="I2228" i="4"/>
  <c r="C2228" i="4"/>
  <c r="J2227" i="4"/>
  <c r="I2227" i="4"/>
  <c r="C2227" i="4"/>
  <c r="J2226" i="4"/>
  <c r="I2226" i="4"/>
  <c r="C2226" i="4"/>
  <c r="C2225" i="4"/>
  <c r="J2224" i="4"/>
  <c r="I2224" i="4"/>
  <c r="C2224" i="4"/>
  <c r="J2223" i="4"/>
  <c r="I2223" i="4"/>
  <c r="C2223" i="4"/>
  <c r="J2222" i="4"/>
  <c r="I2222" i="4"/>
  <c r="C2222" i="4"/>
  <c r="J2221" i="4"/>
  <c r="I2221" i="4"/>
  <c r="C2221" i="4"/>
  <c r="J2220" i="4"/>
  <c r="I2220" i="4"/>
  <c r="C2220" i="4"/>
  <c r="J2219" i="4"/>
  <c r="I2219" i="4"/>
  <c r="C2219" i="4"/>
  <c r="J2218" i="4"/>
  <c r="I2218" i="4"/>
  <c r="C2218" i="4"/>
  <c r="C2217" i="4"/>
  <c r="J2216" i="4"/>
  <c r="I2216" i="4"/>
  <c r="C2216" i="4"/>
  <c r="J2215" i="4"/>
  <c r="I2215" i="4"/>
  <c r="C2215" i="4"/>
  <c r="J2214" i="4"/>
  <c r="I2214" i="4"/>
  <c r="C2214" i="4"/>
  <c r="J2213" i="4"/>
  <c r="I2213" i="4"/>
  <c r="C2213" i="4"/>
  <c r="J2212" i="4"/>
  <c r="I2212" i="4"/>
  <c r="C2212" i="4"/>
  <c r="C2211" i="4"/>
  <c r="J2210" i="4"/>
  <c r="I2210" i="4"/>
  <c r="C2210" i="4"/>
  <c r="C2209" i="4"/>
  <c r="J2208" i="4"/>
  <c r="I2208" i="4"/>
  <c r="C2208" i="4"/>
  <c r="J2207" i="4"/>
  <c r="I2207" i="4"/>
  <c r="C2207" i="4"/>
  <c r="J2206" i="4"/>
  <c r="I2206" i="4"/>
  <c r="C2206" i="4"/>
  <c r="J2205" i="4"/>
  <c r="I2205" i="4"/>
  <c r="C2205" i="4"/>
  <c r="J2204" i="4"/>
  <c r="I2204" i="4"/>
  <c r="C2204" i="4"/>
  <c r="J2203" i="4"/>
  <c r="I2203" i="4"/>
  <c r="C2203" i="4"/>
  <c r="J2202" i="4"/>
  <c r="I2202" i="4"/>
  <c r="C2202" i="4"/>
  <c r="C2201" i="4"/>
  <c r="J2200" i="4"/>
  <c r="I2200" i="4"/>
  <c r="C2200" i="4"/>
  <c r="J2199" i="4"/>
  <c r="I2199" i="4"/>
  <c r="C2199" i="4"/>
  <c r="J2198" i="4"/>
  <c r="I2198" i="4"/>
  <c r="C2198" i="4"/>
  <c r="J2197" i="4"/>
  <c r="I2197" i="4"/>
  <c r="C2197" i="4"/>
  <c r="J2196" i="4"/>
  <c r="I2196" i="4"/>
  <c r="C2196" i="4"/>
  <c r="J2195" i="4"/>
  <c r="I2195" i="4"/>
  <c r="C2195" i="4"/>
  <c r="J2194" i="4"/>
  <c r="I2194" i="4"/>
  <c r="C2194" i="4"/>
  <c r="C2193" i="4"/>
  <c r="J2192" i="4"/>
  <c r="I2192" i="4"/>
  <c r="C2192" i="4"/>
  <c r="J2191" i="4"/>
  <c r="I2191" i="4"/>
  <c r="C2191" i="4"/>
  <c r="J2190" i="4"/>
  <c r="I2190" i="4"/>
  <c r="C2190" i="4"/>
  <c r="C2189" i="4"/>
  <c r="J2188" i="4"/>
  <c r="I2188" i="4"/>
  <c r="C2188" i="4"/>
  <c r="J2187" i="4"/>
  <c r="I2187" i="4"/>
  <c r="C2187" i="4"/>
  <c r="J2186" i="4"/>
  <c r="I2186" i="4"/>
  <c r="C2186" i="4"/>
  <c r="J2185" i="4"/>
  <c r="I2185" i="4"/>
  <c r="C2185" i="4"/>
  <c r="J2184" i="4"/>
  <c r="I2184" i="4"/>
  <c r="C2184" i="4"/>
  <c r="J2183" i="4"/>
  <c r="I2183" i="4"/>
  <c r="C2183" i="4"/>
  <c r="J2182" i="4"/>
  <c r="I2182" i="4"/>
  <c r="C2182" i="4"/>
  <c r="C2181" i="4"/>
  <c r="J2180" i="4"/>
  <c r="I2180" i="4"/>
  <c r="C2180" i="4"/>
  <c r="J2179" i="4"/>
  <c r="I2179" i="4"/>
  <c r="C2179" i="4"/>
  <c r="J2178" i="4"/>
  <c r="I2178" i="4"/>
  <c r="C2178" i="4"/>
  <c r="J2177" i="4"/>
  <c r="I2177" i="4"/>
  <c r="C2177" i="4"/>
  <c r="J2176" i="4"/>
  <c r="I2176" i="4"/>
  <c r="C2176" i="4"/>
  <c r="J2175" i="4"/>
  <c r="I2175" i="4"/>
  <c r="C2175" i="4"/>
  <c r="J2174" i="4"/>
  <c r="I2174" i="4"/>
  <c r="C2174" i="4"/>
  <c r="C2173" i="4"/>
  <c r="J2172" i="4"/>
  <c r="I2172" i="4"/>
  <c r="C2172" i="4"/>
  <c r="J2171" i="4"/>
  <c r="I2171" i="4"/>
  <c r="C2171" i="4"/>
  <c r="C2170" i="4"/>
  <c r="C2169" i="4"/>
  <c r="J2168" i="4"/>
  <c r="I2168" i="4"/>
  <c r="C2168" i="4"/>
  <c r="J2167" i="4"/>
  <c r="I2167" i="4"/>
  <c r="C2167" i="4"/>
  <c r="J2166" i="4"/>
  <c r="I2166" i="4"/>
  <c r="C2166" i="4"/>
  <c r="J2165" i="4"/>
  <c r="I2165" i="4"/>
  <c r="C2165" i="4"/>
  <c r="J2164" i="4"/>
  <c r="I2164" i="4"/>
  <c r="C2164" i="4"/>
  <c r="J2163" i="4"/>
  <c r="I2163" i="4"/>
  <c r="C2163" i="4"/>
  <c r="J2162" i="4"/>
  <c r="I2162" i="4"/>
  <c r="C2162" i="4"/>
  <c r="C2161" i="4"/>
  <c r="J2160" i="4"/>
  <c r="I2160" i="4"/>
  <c r="C2160" i="4"/>
  <c r="J2159" i="4"/>
  <c r="I2159" i="4"/>
  <c r="C2159" i="4"/>
  <c r="J2158" i="4"/>
  <c r="I2158" i="4"/>
  <c r="C2158" i="4"/>
  <c r="J2157" i="4"/>
  <c r="I2157" i="4"/>
  <c r="C2157" i="4"/>
  <c r="J2156" i="4"/>
  <c r="I2156" i="4"/>
  <c r="C2156" i="4"/>
  <c r="J2155" i="4"/>
  <c r="I2155" i="4"/>
  <c r="C2155" i="4"/>
  <c r="J2154" i="4"/>
  <c r="I2154" i="4"/>
  <c r="C2154" i="4"/>
  <c r="C2153" i="4"/>
  <c r="J2152" i="4"/>
  <c r="I2152" i="4"/>
  <c r="C2152" i="4"/>
  <c r="J2151" i="4"/>
  <c r="I2151" i="4"/>
  <c r="C2151" i="4"/>
  <c r="J2150" i="4"/>
  <c r="I2150" i="4"/>
  <c r="C2150" i="4"/>
  <c r="J2149" i="4"/>
  <c r="I2149" i="4"/>
  <c r="C2149" i="4"/>
  <c r="J2148" i="4"/>
  <c r="I2148" i="4"/>
  <c r="C2148" i="4"/>
  <c r="J2147" i="4"/>
  <c r="I2147" i="4"/>
  <c r="C2147" i="4"/>
  <c r="J2146" i="4"/>
  <c r="I2146" i="4"/>
  <c r="C2146" i="4"/>
  <c r="C2145" i="4"/>
  <c r="J2144" i="4"/>
  <c r="I2144" i="4"/>
  <c r="C2144" i="4"/>
  <c r="J2143" i="4"/>
  <c r="I2143" i="4"/>
  <c r="C2143" i="4"/>
  <c r="J2142" i="4"/>
  <c r="I2142" i="4"/>
  <c r="C2142" i="4"/>
  <c r="J2141" i="4"/>
  <c r="I2141" i="4"/>
  <c r="C2141" i="4"/>
  <c r="J2140" i="4"/>
  <c r="I2140" i="4"/>
  <c r="C2140" i="4"/>
  <c r="J2139" i="4"/>
  <c r="I2139" i="4"/>
  <c r="C2139" i="4"/>
  <c r="J2138" i="4"/>
  <c r="I2138" i="4"/>
  <c r="C2138" i="4"/>
  <c r="C2137" i="4"/>
  <c r="J2136" i="4"/>
  <c r="I2136" i="4"/>
  <c r="C2136" i="4"/>
  <c r="J2135" i="4"/>
  <c r="I2135" i="4"/>
  <c r="C2135" i="4"/>
  <c r="J2134" i="4"/>
  <c r="I2134" i="4"/>
  <c r="C2134" i="4"/>
  <c r="J2133" i="4"/>
  <c r="I2133" i="4"/>
  <c r="C2133" i="4"/>
  <c r="C2132" i="4"/>
  <c r="C2131" i="4"/>
  <c r="J2130" i="4"/>
  <c r="I2130" i="4"/>
  <c r="C2130" i="4"/>
  <c r="J2129" i="4"/>
  <c r="I2129" i="4"/>
  <c r="C2129" i="4"/>
  <c r="J2128" i="4"/>
  <c r="I2128" i="4"/>
  <c r="C2128" i="4"/>
  <c r="J2127" i="4"/>
  <c r="I2127" i="4"/>
  <c r="C2127" i="4"/>
  <c r="J2126" i="4"/>
  <c r="I2126" i="4"/>
  <c r="C2126" i="4"/>
  <c r="C2125" i="4"/>
  <c r="J2124" i="4"/>
  <c r="I2124" i="4"/>
  <c r="C2124" i="4"/>
  <c r="J2123" i="4"/>
  <c r="I2123" i="4"/>
  <c r="C2123" i="4"/>
  <c r="J2122" i="4"/>
  <c r="I2122" i="4"/>
  <c r="C2122" i="4"/>
  <c r="J2121" i="4"/>
  <c r="I2121" i="4"/>
  <c r="C2121" i="4"/>
  <c r="J2120" i="4"/>
  <c r="I2120" i="4"/>
  <c r="C2120" i="4"/>
  <c r="J2119" i="4"/>
  <c r="I2119" i="4"/>
  <c r="C2119" i="4"/>
  <c r="C2118" i="4"/>
  <c r="J2117" i="4"/>
  <c r="I2117" i="4"/>
  <c r="C2117" i="4"/>
  <c r="C2116" i="4"/>
  <c r="J2115" i="4"/>
  <c r="I2115" i="4"/>
  <c r="C2115" i="4"/>
  <c r="J2114" i="4"/>
  <c r="I2114" i="4"/>
  <c r="C2114" i="4"/>
  <c r="J2113" i="4"/>
  <c r="I2113" i="4"/>
  <c r="C2113" i="4"/>
  <c r="J2112" i="4"/>
  <c r="I2112" i="4"/>
  <c r="C2112" i="4"/>
  <c r="J2111" i="4"/>
  <c r="I2111" i="4"/>
  <c r="C2111" i="4"/>
  <c r="J2110" i="4"/>
  <c r="I2110" i="4"/>
  <c r="C2110" i="4"/>
  <c r="C2109" i="4"/>
  <c r="J2108" i="4"/>
  <c r="I2108" i="4"/>
  <c r="C2108" i="4"/>
  <c r="J2107" i="4"/>
  <c r="I2107" i="4"/>
  <c r="C2107" i="4"/>
  <c r="C2106" i="4"/>
  <c r="J2105" i="4"/>
  <c r="I2105" i="4"/>
  <c r="C2105" i="4"/>
  <c r="J2104" i="4"/>
  <c r="I2104" i="4"/>
  <c r="C2104" i="4"/>
  <c r="J2103" i="4"/>
  <c r="I2103" i="4"/>
  <c r="C2103" i="4"/>
  <c r="J2102" i="4"/>
  <c r="I2102" i="4"/>
  <c r="C2102" i="4"/>
  <c r="J2101" i="4"/>
  <c r="I2101" i="4"/>
  <c r="C2101" i="4"/>
  <c r="J2100" i="4"/>
  <c r="I2100" i="4"/>
  <c r="C2100" i="4"/>
  <c r="J2099" i="4"/>
  <c r="I2099" i="4"/>
  <c r="C2099" i="4"/>
  <c r="C2098" i="4"/>
  <c r="J2097" i="4"/>
  <c r="I2097" i="4"/>
  <c r="C2097" i="4"/>
  <c r="J2096" i="4"/>
  <c r="I2096" i="4"/>
  <c r="C2096" i="4"/>
  <c r="J2095" i="4"/>
  <c r="I2095" i="4"/>
  <c r="C2095" i="4"/>
  <c r="J2094" i="4"/>
  <c r="I2094" i="4"/>
  <c r="C2094" i="4"/>
  <c r="J2093" i="4"/>
  <c r="I2093" i="4"/>
  <c r="C2093" i="4"/>
  <c r="J2092" i="4"/>
  <c r="I2092" i="4"/>
  <c r="C2092" i="4"/>
  <c r="J2091" i="4"/>
  <c r="I2091" i="4"/>
  <c r="C2091" i="4"/>
  <c r="C2090" i="4"/>
  <c r="J2089" i="4"/>
  <c r="I2089" i="4"/>
  <c r="C2089" i="4"/>
  <c r="J2088" i="4"/>
  <c r="I2088" i="4"/>
  <c r="C2088" i="4"/>
  <c r="C2087" i="4"/>
  <c r="J2086" i="4"/>
  <c r="I2086" i="4"/>
  <c r="C2086" i="4"/>
  <c r="C2085" i="4"/>
  <c r="J2084" i="4"/>
  <c r="I2084" i="4"/>
  <c r="C2084" i="4"/>
  <c r="J2083" i="4"/>
  <c r="I2083" i="4"/>
  <c r="C2083" i="4"/>
  <c r="J2082" i="4"/>
  <c r="I2082" i="4"/>
  <c r="C2082" i="4"/>
  <c r="J2081" i="4"/>
  <c r="I2081" i="4"/>
  <c r="C2081" i="4"/>
  <c r="J2080" i="4"/>
  <c r="I2080" i="4"/>
  <c r="C2080" i="4"/>
  <c r="J2079" i="4"/>
  <c r="I2079" i="4"/>
  <c r="C2079" i="4"/>
  <c r="J2078" i="4"/>
  <c r="I2078" i="4"/>
  <c r="C2078" i="4"/>
  <c r="C2077" i="4"/>
  <c r="J2076" i="4"/>
  <c r="I2076" i="4"/>
  <c r="C2076" i="4"/>
  <c r="C2075" i="4"/>
  <c r="J2074" i="4"/>
  <c r="I2074" i="4"/>
  <c r="C2074" i="4"/>
  <c r="J2073" i="4"/>
  <c r="I2073" i="4"/>
  <c r="C2073" i="4"/>
  <c r="J2072" i="4"/>
  <c r="I2072" i="4"/>
  <c r="C2072" i="4"/>
  <c r="J2071" i="4"/>
  <c r="I2071" i="4"/>
  <c r="C2071" i="4"/>
  <c r="J2070" i="4"/>
  <c r="I2070" i="4"/>
  <c r="C2070" i="4"/>
  <c r="J2069" i="4"/>
  <c r="I2069" i="4"/>
  <c r="C2069" i="4"/>
  <c r="J2068" i="4"/>
  <c r="I2068" i="4"/>
  <c r="C2068" i="4"/>
  <c r="J2067" i="4"/>
  <c r="I2067" i="4"/>
  <c r="C2067" i="4"/>
  <c r="J2066" i="4"/>
  <c r="I2066" i="4"/>
  <c r="C2066" i="4"/>
  <c r="J2065" i="4"/>
  <c r="I2065" i="4"/>
  <c r="C2065" i="4"/>
  <c r="J2064" i="4"/>
  <c r="I2064" i="4"/>
  <c r="C2064" i="4"/>
  <c r="J2063" i="4"/>
  <c r="I2063" i="4"/>
  <c r="C2063" i="4"/>
  <c r="C2062" i="4"/>
  <c r="C2061" i="4"/>
  <c r="J2060" i="4"/>
  <c r="I2060" i="4"/>
  <c r="C2060" i="4"/>
  <c r="J2059" i="4"/>
  <c r="I2059" i="4"/>
  <c r="C2059" i="4"/>
  <c r="J2058" i="4"/>
  <c r="I2058" i="4"/>
  <c r="C2058" i="4"/>
  <c r="J2057" i="4"/>
  <c r="I2057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J2040" i="4"/>
  <c r="I2040" i="4"/>
  <c r="C2040" i="4"/>
  <c r="J2039" i="4"/>
  <c r="I2039" i="4"/>
  <c r="C2039" i="4"/>
  <c r="J2038" i="4"/>
  <c r="I2038" i="4"/>
  <c r="C2038" i="4"/>
  <c r="J2037" i="4"/>
  <c r="I2037" i="4"/>
  <c r="C2037" i="4"/>
  <c r="J2036" i="4"/>
  <c r="I2036" i="4"/>
  <c r="C2036" i="4"/>
  <c r="J2035" i="4"/>
  <c r="I2035" i="4"/>
  <c r="C2035" i="4"/>
  <c r="J2034" i="4"/>
  <c r="I2034" i="4"/>
  <c r="C2034" i="4"/>
  <c r="C2033" i="4"/>
  <c r="C2032" i="4"/>
  <c r="C2031" i="4"/>
  <c r="C2030" i="4"/>
  <c r="C2029" i="4"/>
  <c r="C2028" i="4"/>
  <c r="C2027" i="4"/>
  <c r="J2026" i="4"/>
  <c r="I2026" i="4"/>
  <c r="C2026" i="4"/>
  <c r="J2025" i="4"/>
  <c r="I2025" i="4"/>
  <c r="C2025" i="4"/>
  <c r="C2024" i="4"/>
  <c r="J2023" i="4"/>
  <c r="I2023" i="4"/>
  <c r="C2023" i="4"/>
  <c r="J2022" i="4"/>
  <c r="I2022" i="4"/>
  <c r="C2022" i="4"/>
  <c r="J2021" i="4"/>
  <c r="I2021" i="4"/>
  <c r="C2021" i="4"/>
  <c r="J2020" i="4"/>
  <c r="I2020" i="4"/>
  <c r="C2020" i="4"/>
  <c r="J2019" i="4"/>
  <c r="I2019" i="4"/>
  <c r="C2019" i="4"/>
  <c r="J2018" i="4"/>
  <c r="I2018" i="4"/>
  <c r="C2018" i="4"/>
  <c r="J2017" i="4"/>
  <c r="I2017" i="4"/>
  <c r="C2017" i="4"/>
  <c r="J2016" i="4"/>
  <c r="I2016" i="4"/>
  <c r="C2016" i="4"/>
  <c r="J2015" i="4"/>
  <c r="I2015" i="4"/>
  <c r="C2015" i="4"/>
  <c r="J2014" i="4"/>
  <c r="I2014" i="4"/>
  <c r="C2014" i="4"/>
  <c r="J2013" i="4"/>
  <c r="I2013" i="4"/>
  <c r="C2013" i="4"/>
  <c r="J2012" i="4"/>
  <c r="I2012" i="4"/>
  <c r="C2012" i="4"/>
  <c r="C2011" i="4"/>
  <c r="J2010" i="4"/>
  <c r="I2010" i="4"/>
  <c r="C2010" i="4"/>
  <c r="J2009" i="4"/>
  <c r="I2009" i="4"/>
  <c r="C2009" i="4"/>
  <c r="C2008" i="4"/>
  <c r="J2007" i="4"/>
  <c r="I2007" i="4"/>
  <c r="C2007" i="4"/>
  <c r="C2006" i="4"/>
  <c r="J2005" i="4"/>
  <c r="I2005" i="4"/>
  <c r="C2005" i="4"/>
  <c r="J2004" i="4"/>
  <c r="I2004" i="4"/>
  <c r="C2004" i="4"/>
  <c r="J2003" i="4"/>
  <c r="I2003" i="4"/>
  <c r="C2003" i="4"/>
  <c r="J2002" i="4"/>
  <c r="I2002" i="4"/>
  <c r="C2002" i="4"/>
  <c r="J2001" i="4"/>
  <c r="I2001" i="4"/>
  <c r="C2001" i="4"/>
  <c r="J2000" i="4"/>
  <c r="I2000" i="4"/>
  <c r="C2000" i="4"/>
  <c r="J1999" i="4"/>
  <c r="I1999" i="4"/>
  <c r="C1999" i="4"/>
  <c r="C1998" i="4"/>
  <c r="J1997" i="4"/>
  <c r="I1997" i="4"/>
  <c r="C1997" i="4"/>
  <c r="J1996" i="4"/>
  <c r="I1996" i="4"/>
  <c r="C1996" i="4"/>
  <c r="J1995" i="4"/>
  <c r="I1995" i="4"/>
  <c r="C1995" i="4"/>
  <c r="J1994" i="4"/>
  <c r="I1994" i="4"/>
  <c r="C1994" i="4"/>
  <c r="J1993" i="4"/>
  <c r="I1993" i="4"/>
  <c r="C1993" i="4"/>
  <c r="J1992" i="4"/>
  <c r="I1992" i="4"/>
  <c r="C1992" i="4"/>
  <c r="J1991" i="4"/>
  <c r="I1991" i="4"/>
  <c r="C1991" i="4"/>
  <c r="C1990" i="4"/>
  <c r="J1989" i="4"/>
  <c r="I1989" i="4"/>
  <c r="C1989" i="4"/>
  <c r="C1988" i="4"/>
  <c r="J1987" i="4"/>
  <c r="I1987" i="4"/>
  <c r="C1987" i="4"/>
  <c r="J1986" i="4"/>
  <c r="I1986" i="4"/>
  <c r="C1986" i="4"/>
  <c r="J1985" i="4"/>
  <c r="I1985" i="4"/>
  <c r="C1985" i="4"/>
  <c r="C1984" i="4"/>
  <c r="J1983" i="4"/>
  <c r="I1983" i="4"/>
  <c r="C1983" i="4"/>
  <c r="J1982" i="4"/>
  <c r="I1982" i="4"/>
  <c r="C1982" i="4"/>
  <c r="J1981" i="4"/>
  <c r="I1981" i="4"/>
  <c r="C1981" i="4"/>
  <c r="J1980" i="4"/>
  <c r="I1980" i="4"/>
  <c r="C1980" i="4"/>
  <c r="J1979" i="4"/>
  <c r="I1979" i="4"/>
  <c r="C1979" i="4"/>
  <c r="J1978" i="4"/>
  <c r="I1978" i="4"/>
  <c r="C1978" i="4"/>
  <c r="J1977" i="4"/>
  <c r="I1977" i="4"/>
  <c r="C1977" i="4"/>
  <c r="C1976" i="4"/>
  <c r="J1975" i="4"/>
  <c r="I1975" i="4"/>
  <c r="C1975" i="4"/>
  <c r="J1974" i="4"/>
  <c r="I1974" i="4"/>
  <c r="C1974" i="4"/>
  <c r="J1973" i="4"/>
  <c r="I1973" i="4"/>
  <c r="C1973" i="4"/>
  <c r="J1972" i="4"/>
  <c r="I1972" i="4"/>
  <c r="C1972" i="4"/>
  <c r="J1971" i="4"/>
  <c r="I1971" i="4"/>
  <c r="C1971" i="4"/>
  <c r="J1970" i="4"/>
  <c r="I1970" i="4"/>
  <c r="C1970" i="4"/>
  <c r="J1969" i="4"/>
  <c r="I1969" i="4"/>
  <c r="C1969" i="4"/>
  <c r="C1968" i="4"/>
  <c r="J1967" i="4"/>
  <c r="I1967" i="4"/>
  <c r="C1967" i="4"/>
  <c r="J1966" i="4"/>
  <c r="I1966" i="4"/>
  <c r="C1966" i="4"/>
  <c r="C1965" i="4"/>
  <c r="J1964" i="4"/>
  <c r="I1964" i="4"/>
  <c r="C1964" i="4"/>
  <c r="J1963" i="4"/>
  <c r="I1963" i="4"/>
  <c r="C1963" i="4"/>
  <c r="J1962" i="4"/>
  <c r="I1962" i="4"/>
  <c r="C1962" i="4"/>
  <c r="J1961" i="4"/>
  <c r="I1961" i="4"/>
  <c r="C1961" i="4"/>
  <c r="C1960" i="4"/>
  <c r="C1959" i="4"/>
  <c r="C1958" i="4"/>
  <c r="C1957" i="4"/>
  <c r="C1956" i="4"/>
  <c r="C1955" i="4"/>
  <c r="C1954" i="4"/>
  <c r="C1953" i="4"/>
  <c r="C1952" i="4"/>
  <c r="C1951" i="4"/>
  <c r="J1950" i="4"/>
  <c r="I1950" i="4"/>
  <c r="C1950" i="4"/>
  <c r="J1949" i="4"/>
  <c r="I1949" i="4"/>
  <c r="C1949" i="4"/>
  <c r="J1948" i="4"/>
  <c r="I1948" i="4"/>
  <c r="C1948" i="4"/>
  <c r="J1947" i="4"/>
  <c r="I1947" i="4"/>
  <c r="C1947" i="4"/>
  <c r="J1946" i="4"/>
  <c r="I1946" i="4"/>
  <c r="C1946" i="4"/>
  <c r="J1945" i="4"/>
  <c r="I1945" i="4"/>
  <c r="C1945" i="4"/>
  <c r="J1944" i="4"/>
  <c r="I1944" i="4"/>
  <c r="C1944" i="4"/>
  <c r="C1943" i="4"/>
  <c r="C1942" i="4"/>
  <c r="C1941" i="4"/>
  <c r="J1940" i="4"/>
  <c r="I1940" i="4"/>
  <c r="C1940" i="4"/>
  <c r="J1939" i="4"/>
  <c r="I1939" i="4"/>
  <c r="C1939" i="4"/>
  <c r="C1938" i="4"/>
  <c r="J1937" i="4"/>
  <c r="I1937" i="4"/>
  <c r="C1937" i="4"/>
  <c r="C1936" i="4"/>
  <c r="C1935" i="4"/>
  <c r="C1934" i="4"/>
  <c r="C1933" i="4"/>
  <c r="C1932" i="4"/>
  <c r="C1931" i="4"/>
  <c r="C1930" i="4"/>
  <c r="C1929" i="4"/>
  <c r="J1928" i="4"/>
  <c r="I1928" i="4"/>
  <c r="C1928" i="4"/>
  <c r="J1927" i="4"/>
  <c r="I1927" i="4"/>
  <c r="C1927" i="4"/>
  <c r="J1926" i="4"/>
  <c r="I1926" i="4"/>
  <c r="C1926" i="4"/>
  <c r="J1925" i="4"/>
  <c r="I1925" i="4"/>
  <c r="C1925" i="4"/>
  <c r="J1924" i="4"/>
  <c r="I1924" i="4"/>
  <c r="C1924" i="4"/>
  <c r="J1923" i="4"/>
  <c r="I1923" i="4"/>
  <c r="C1923" i="4"/>
  <c r="J1922" i="4"/>
  <c r="I1922" i="4"/>
  <c r="C1922" i="4"/>
  <c r="C1921" i="4"/>
  <c r="C1920" i="4"/>
  <c r="C1919" i="4"/>
  <c r="C1918" i="4"/>
  <c r="J1917" i="4"/>
  <c r="I1917" i="4"/>
  <c r="C1917" i="4"/>
  <c r="J1916" i="4"/>
  <c r="I1916" i="4"/>
  <c r="C1916" i="4"/>
  <c r="J1915" i="4"/>
  <c r="I1915" i="4"/>
  <c r="C1915" i="4"/>
  <c r="J1914" i="4"/>
  <c r="I1914" i="4"/>
  <c r="C1914" i="4"/>
  <c r="J1913" i="4"/>
  <c r="I1913" i="4"/>
  <c r="C1913" i="4"/>
  <c r="J1912" i="4"/>
  <c r="I1912" i="4"/>
  <c r="C1912" i="4"/>
  <c r="C1911" i="4"/>
  <c r="C1910" i="4"/>
  <c r="C1909" i="4"/>
  <c r="C1908" i="4"/>
  <c r="C1907" i="4"/>
  <c r="J1906" i="4"/>
  <c r="I1906" i="4"/>
  <c r="C1906" i="4"/>
  <c r="J1905" i="4"/>
  <c r="I1905" i="4"/>
  <c r="C1905" i="4"/>
  <c r="J1904" i="4"/>
  <c r="I1904" i="4"/>
  <c r="C1904" i="4"/>
  <c r="J1903" i="4"/>
  <c r="I1903" i="4"/>
  <c r="C1903" i="4"/>
  <c r="J1902" i="4"/>
  <c r="I1902" i="4"/>
  <c r="C1902" i="4"/>
  <c r="J1901" i="4"/>
  <c r="I1901" i="4"/>
  <c r="C1901" i="4"/>
  <c r="C1900" i="4"/>
  <c r="C1899" i="4"/>
  <c r="C1898" i="4"/>
  <c r="C1897" i="4"/>
  <c r="C1896" i="4"/>
  <c r="C1895" i="4"/>
  <c r="C1894" i="4"/>
  <c r="C1893" i="4"/>
  <c r="J1892" i="4"/>
  <c r="I1892" i="4"/>
  <c r="C1892" i="4"/>
  <c r="J1891" i="4"/>
  <c r="I1891" i="4"/>
  <c r="C1891" i="4"/>
  <c r="J1890" i="4"/>
  <c r="I1890" i="4"/>
  <c r="C1890" i="4"/>
  <c r="J1889" i="4"/>
  <c r="I1889" i="4"/>
  <c r="C1889" i="4"/>
  <c r="J1888" i="4"/>
  <c r="I1888" i="4"/>
  <c r="C1888" i="4"/>
  <c r="J1887" i="4"/>
  <c r="I1887" i="4"/>
  <c r="C1887" i="4"/>
  <c r="J1886" i="4"/>
  <c r="I1886" i="4"/>
  <c r="C1886" i="4"/>
  <c r="C1885" i="4"/>
  <c r="C1884" i="4"/>
  <c r="J1883" i="4"/>
  <c r="I1883" i="4"/>
  <c r="C1883" i="4"/>
  <c r="J1882" i="4"/>
  <c r="I1882" i="4"/>
  <c r="C1882" i="4"/>
  <c r="J1881" i="4"/>
  <c r="I1881" i="4"/>
  <c r="C1881" i="4"/>
  <c r="J1880" i="4"/>
  <c r="I1880" i="4"/>
  <c r="C1880" i="4"/>
  <c r="J1879" i="4"/>
  <c r="I1879" i="4"/>
  <c r="C1879" i="4"/>
  <c r="J1878" i="4"/>
  <c r="I1878" i="4"/>
  <c r="C1878" i="4"/>
  <c r="J1877" i="4"/>
  <c r="I1877" i="4"/>
  <c r="C1877" i="4"/>
  <c r="C1876" i="4"/>
  <c r="C1875" i="4"/>
  <c r="C1874" i="4"/>
  <c r="C1873" i="4"/>
  <c r="C1872" i="4"/>
  <c r="C1871" i="4"/>
  <c r="C1870" i="4"/>
  <c r="C1869" i="4"/>
  <c r="J1868" i="4"/>
  <c r="I1868" i="4"/>
  <c r="C1868" i="4"/>
  <c r="J1867" i="4"/>
  <c r="I1867" i="4"/>
  <c r="C1867" i="4"/>
  <c r="J1866" i="4"/>
  <c r="I1866" i="4"/>
  <c r="C1866" i="4"/>
  <c r="J1865" i="4"/>
  <c r="I1865" i="4"/>
  <c r="C1865" i="4"/>
  <c r="J1864" i="4"/>
  <c r="I1864" i="4"/>
  <c r="C1864" i="4"/>
  <c r="J1863" i="4"/>
  <c r="I1863" i="4"/>
  <c r="C1863" i="4"/>
  <c r="J1862" i="4"/>
  <c r="I1862" i="4"/>
  <c r="C1862" i="4"/>
  <c r="C1861" i="4"/>
  <c r="J1860" i="4"/>
  <c r="I1860" i="4"/>
  <c r="C1860" i="4"/>
  <c r="J1859" i="4"/>
  <c r="I1859" i="4"/>
  <c r="C1859" i="4"/>
  <c r="J1858" i="4"/>
  <c r="I1858" i="4"/>
  <c r="C1858" i="4"/>
  <c r="J1857" i="4"/>
  <c r="I1857" i="4"/>
  <c r="C1857" i="4"/>
  <c r="J1856" i="4"/>
  <c r="I1856" i="4"/>
  <c r="C1856" i="4"/>
  <c r="J1855" i="4"/>
  <c r="I1855" i="4"/>
  <c r="C1855" i="4"/>
  <c r="J1854" i="4"/>
  <c r="I1854" i="4"/>
  <c r="C1854" i="4"/>
  <c r="C1853" i="4"/>
  <c r="C1852" i="4"/>
  <c r="J1851" i="4"/>
  <c r="I1851" i="4"/>
  <c r="C1851" i="4"/>
  <c r="J1850" i="4"/>
  <c r="I1850" i="4"/>
  <c r="C1850" i="4"/>
  <c r="J1849" i="4"/>
  <c r="I1849" i="4"/>
  <c r="C1849" i="4"/>
  <c r="J1848" i="4"/>
  <c r="I1848" i="4"/>
  <c r="C1848" i="4"/>
  <c r="J1847" i="4"/>
  <c r="I1847" i="4"/>
  <c r="C1847" i="4"/>
  <c r="J1846" i="4"/>
  <c r="I1846" i="4"/>
  <c r="C1846" i="4"/>
  <c r="J1845" i="4"/>
  <c r="I1845" i="4"/>
  <c r="C1845" i="4"/>
  <c r="C1844" i="4"/>
  <c r="J1843" i="4"/>
  <c r="I1843" i="4"/>
  <c r="C1843" i="4"/>
  <c r="J1842" i="4"/>
  <c r="I1842" i="4"/>
  <c r="C1842" i="4"/>
  <c r="J1841" i="4"/>
  <c r="I1841" i="4"/>
  <c r="C1841" i="4"/>
  <c r="J1840" i="4"/>
  <c r="I1840" i="4"/>
  <c r="C1840" i="4"/>
  <c r="J1839" i="4"/>
  <c r="I1839" i="4"/>
  <c r="C1839" i="4"/>
  <c r="J1838" i="4"/>
  <c r="I1838" i="4"/>
  <c r="C1838" i="4"/>
  <c r="J1837" i="4"/>
  <c r="I1837" i="4"/>
  <c r="C1837" i="4"/>
  <c r="C1836" i="4"/>
  <c r="J1835" i="4"/>
  <c r="I1835" i="4"/>
  <c r="C1835" i="4"/>
  <c r="J1834" i="4"/>
  <c r="I1834" i="4"/>
  <c r="C1834" i="4"/>
  <c r="J1833" i="4"/>
  <c r="I1833" i="4"/>
  <c r="C1833" i="4"/>
  <c r="J1832" i="4"/>
  <c r="I1832" i="4"/>
  <c r="C1832" i="4"/>
  <c r="J1831" i="4"/>
  <c r="I1831" i="4"/>
  <c r="C1831" i="4"/>
  <c r="J1830" i="4"/>
  <c r="I1830" i="4"/>
  <c r="C1830" i="4"/>
  <c r="J1829" i="4"/>
  <c r="I1829" i="4"/>
  <c r="C1829" i="4"/>
  <c r="C1828" i="4"/>
  <c r="J1827" i="4"/>
  <c r="I1827" i="4"/>
  <c r="C1827" i="4"/>
  <c r="J1826" i="4"/>
  <c r="I1826" i="4"/>
  <c r="C1826" i="4"/>
  <c r="J1825" i="4"/>
  <c r="I1825" i="4"/>
  <c r="C1825" i="4"/>
  <c r="J1824" i="4"/>
  <c r="I1824" i="4"/>
  <c r="C1824" i="4"/>
  <c r="J1823" i="4"/>
  <c r="I1823" i="4"/>
  <c r="C1823" i="4"/>
  <c r="J1822" i="4"/>
  <c r="I1822" i="4"/>
  <c r="C1822" i="4"/>
  <c r="J1821" i="4"/>
  <c r="I1821" i="4"/>
  <c r="C1821" i="4"/>
  <c r="C1820" i="4"/>
  <c r="J1819" i="4"/>
  <c r="I1819" i="4"/>
  <c r="C1819" i="4"/>
  <c r="J1818" i="4"/>
  <c r="I1818" i="4"/>
  <c r="C1818" i="4"/>
  <c r="J1817" i="4"/>
  <c r="I1817" i="4"/>
  <c r="C1817" i="4"/>
  <c r="J1816" i="4"/>
  <c r="I1816" i="4"/>
  <c r="C1816" i="4"/>
  <c r="J1815" i="4"/>
  <c r="I1815" i="4"/>
  <c r="C1815" i="4"/>
  <c r="J1814" i="4"/>
  <c r="I1814" i="4"/>
  <c r="C1814" i="4"/>
  <c r="J1813" i="4"/>
  <c r="I1813" i="4"/>
  <c r="C1813" i="4"/>
  <c r="C1812" i="4"/>
  <c r="J1811" i="4"/>
  <c r="I1811" i="4"/>
  <c r="C1811" i="4"/>
  <c r="J1810" i="4"/>
  <c r="I1810" i="4"/>
  <c r="C1810" i="4"/>
  <c r="J1809" i="4"/>
  <c r="I1809" i="4"/>
  <c r="C1809" i="4"/>
  <c r="J1808" i="4"/>
  <c r="I1808" i="4"/>
  <c r="C1808" i="4"/>
  <c r="J1807" i="4"/>
  <c r="I1807" i="4"/>
  <c r="C1807" i="4"/>
  <c r="J1806" i="4"/>
  <c r="I1806" i="4"/>
  <c r="C1806" i="4"/>
  <c r="J1805" i="4"/>
  <c r="I1805" i="4"/>
  <c r="C1805" i="4"/>
  <c r="J1804" i="4"/>
  <c r="I1804" i="4"/>
  <c r="C1804" i="4"/>
  <c r="J1803" i="4"/>
  <c r="I1803" i="4"/>
  <c r="C1803" i="4"/>
  <c r="J1802" i="4"/>
  <c r="I1802" i="4"/>
  <c r="C1802" i="4"/>
  <c r="J1801" i="4"/>
  <c r="I1801" i="4"/>
  <c r="C1801" i="4"/>
  <c r="J1800" i="4"/>
  <c r="I1800" i="4"/>
  <c r="C1800" i="4"/>
  <c r="C1799" i="4"/>
  <c r="J1798" i="4"/>
  <c r="I1798" i="4"/>
  <c r="C1798" i="4"/>
  <c r="C1797" i="4"/>
  <c r="J1796" i="4"/>
  <c r="I1796" i="4"/>
  <c r="C1796" i="4"/>
  <c r="J1795" i="4"/>
  <c r="I1795" i="4"/>
  <c r="C1795" i="4"/>
  <c r="C1794" i="4"/>
  <c r="J1793" i="4"/>
  <c r="I1793" i="4"/>
  <c r="C1793" i="4"/>
  <c r="J1792" i="4"/>
  <c r="I1792" i="4"/>
  <c r="C1792" i="4"/>
  <c r="J1791" i="4"/>
  <c r="I1791" i="4"/>
  <c r="C1791" i="4"/>
  <c r="J1790" i="4"/>
  <c r="I1790" i="4"/>
  <c r="C1790" i="4"/>
  <c r="J1789" i="4"/>
  <c r="I1789" i="4"/>
  <c r="C1789" i="4"/>
  <c r="J1788" i="4"/>
  <c r="I1788" i="4"/>
  <c r="C1788" i="4"/>
  <c r="J1787" i="4"/>
  <c r="I1787" i="4"/>
  <c r="C1787" i="4"/>
  <c r="C1786" i="4"/>
  <c r="J1785" i="4"/>
  <c r="I1785" i="4"/>
  <c r="C1785" i="4"/>
  <c r="J1784" i="4"/>
  <c r="I1784" i="4"/>
  <c r="C1784" i="4"/>
  <c r="J1783" i="4"/>
  <c r="I1783" i="4"/>
  <c r="C1783" i="4"/>
  <c r="J1782" i="4"/>
  <c r="I1782" i="4"/>
  <c r="C1782" i="4"/>
  <c r="J1781" i="4"/>
  <c r="I1781" i="4"/>
  <c r="C1781" i="4"/>
  <c r="J1780" i="4"/>
  <c r="I1780" i="4"/>
  <c r="C1780" i="4"/>
  <c r="J1779" i="4"/>
  <c r="I1779" i="4"/>
  <c r="C1779" i="4"/>
  <c r="C1778" i="4"/>
  <c r="J1777" i="4"/>
  <c r="I1777" i="4"/>
  <c r="C1777" i="4"/>
  <c r="J1776" i="4"/>
  <c r="I1776" i="4"/>
  <c r="C1776" i="4"/>
  <c r="J1775" i="4"/>
  <c r="I1775" i="4"/>
  <c r="C1775" i="4"/>
  <c r="J1774" i="4"/>
  <c r="I1774" i="4"/>
  <c r="C1774" i="4"/>
  <c r="J1773" i="4"/>
  <c r="I1773" i="4"/>
  <c r="C1773" i="4"/>
  <c r="J1772" i="4"/>
  <c r="I1772" i="4"/>
  <c r="C1772" i="4"/>
  <c r="J1771" i="4"/>
  <c r="I1771" i="4"/>
  <c r="C1771" i="4"/>
  <c r="C1770" i="4"/>
  <c r="J1769" i="4"/>
  <c r="I1769" i="4"/>
  <c r="C1769" i="4"/>
  <c r="J1768" i="4"/>
  <c r="I1768" i="4"/>
  <c r="C1768" i="4"/>
  <c r="J1767" i="4"/>
  <c r="I1767" i="4"/>
  <c r="C1767" i="4"/>
  <c r="J1766" i="4"/>
  <c r="I1766" i="4"/>
  <c r="C1766" i="4"/>
  <c r="J1765" i="4"/>
  <c r="I1765" i="4"/>
  <c r="C1765" i="4"/>
  <c r="J1764" i="4"/>
  <c r="I1764" i="4"/>
  <c r="C1764" i="4"/>
  <c r="J1763" i="4"/>
  <c r="I1763" i="4"/>
  <c r="C1763" i="4"/>
  <c r="C1762" i="4"/>
  <c r="J1761" i="4"/>
  <c r="I1761" i="4"/>
  <c r="C1761" i="4"/>
  <c r="J1760" i="4"/>
  <c r="I1760" i="4"/>
  <c r="C1760" i="4"/>
  <c r="J1759" i="4"/>
  <c r="I1759" i="4"/>
  <c r="C1759" i="4"/>
  <c r="J1758" i="4"/>
  <c r="I1758" i="4"/>
  <c r="C1758" i="4"/>
  <c r="J1757" i="4"/>
  <c r="I1757" i="4"/>
  <c r="C1757" i="4"/>
  <c r="J1756" i="4"/>
  <c r="I1756" i="4"/>
  <c r="C1756" i="4"/>
  <c r="J1755" i="4"/>
  <c r="I1755" i="4"/>
  <c r="C1755" i="4"/>
  <c r="C1754" i="4"/>
  <c r="J1753" i="4"/>
  <c r="I1753" i="4"/>
  <c r="C1753" i="4"/>
  <c r="J1752" i="4"/>
  <c r="I1752" i="4"/>
  <c r="C1752" i="4"/>
  <c r="J1751" i="4"/>
  <c r="I1751" i="4"/>
  <c r="C1751" i="4"/>
  <c r="J1750" i="4"/>
  <c r="I1750" i="4"/>
  <c r="C1750" i="4"/>
  <c r="J1749" i="4"/>
  <c r="I1749" i="4"/>
  <c r="C1749" i="4"/>
  <c r="J1748" i="4"/>
  <c r="I1748" i="4"/>
  <c r="C1748" i="4"/>
  <c r="J1747" i="4"/>
  <c r="I1747" i="4"/>
  <c r="C1747" i="4"/>
  <c r="C1746" i="4"/>
  <c r="J1745" i="4"/>
  <c r="I1745" i="4"/>
  <c r="C1745" i="4"/>
  <c r="J1744" i="4"/>
  <c r="I1744" i="4"/>
  <c r="C1744" i="4"/>
  <c r="J1743" i="4"/>
  <c r="I1743" i="4"/>
  <c r="C1743" i="4"/>
  <c r="J1742" i="4"/>
  <c r="I1742" i="4"/>
  <c r="C1742" i="4"/>
  <c r="J1741" i="4"/>
  <c r="I1741" i="4"/>
  <c r="C1741" i="4"/>
  <c r="J1740" i="4"/>
  <c r="I1740" i="4"/>
  <c r="C1740" i="4"/>
  <c r="J1739" i="4"/>
  <c r="I1739" i="4"/>
  <c r="C1739" i="4"/>
  <c r="C1738" i="4"/>
  <c r="J1737" i="4"/>
  <c r="I1737" i="4"/>
  <c r="C1737" i="4"/>
  <c r="J1736" i="4"/>
  <c r="I1736" i="4"/>
  <c r="C1736" i="4"/>
  <c r="J1735" i="4"/>
  <c r="I1735" i="4"/>
  <c r="C1735" i="4"/>
  <c r="J1734" i="4"/>
  <c r="I1734" i="4"/>
  <c r="C1734" i="4"/>
  <c r="J1733" i="4"/>
  <c r="I1733" i="4"/>
  <c r="C1733" i="4"/>
  <c r="J1732" i="4"/>
  <c r="I1732" i="4"/>
  <c r="C1732" i="4"/>
  <c r="J1731" i="4"/>
  <c r="I1731" i="4"/>
  <c r="C1731" i="4"/>
  <c r="C1730" i="4"/>
  <c r="J1729" i="4"/>
  <c r="I1729" i="4"/>
  <c r="C1729" i="4"/>
  <c r="J1728" i="4"/>
  <c r="I1728" i="4"/>
  <c r="C1728" i="4"/>
  <c r="J1727" i="4"/>
  <c r="I1727" i="4"/>
  <c r="C1727" i="4"/>
  <c r="J1726" i="4"/>
  <c r="I1726" i="4"/>
  <c r="C1726" i="4"/>
  <c r="J1725" i="4"/>
  <c r="I1725" i="4"/>
  <c r="C1725" i="4"/>
  <c r="J1724" i="4"/>
  <c r="I1724" i="4"/>
  <c r="C1724" i="4"/>
  <c r="J1723" i="4"/>
  <c r="I1723" i="4"/>
  <c r="C1723" i="4"/>
  <c r="C1722" i="4"/>
  <c r="J1721" i="4"/>
  <c r="I1721" i="4"/>
  <c r="C1721" i="4"/>
  <c r="J1720" i="4"/>
  <c r="I1720" i="4"/>
  <c r="C1720" i="4"/>
  <c r="J1719" i="4"/>
  <c r="I1719" i="4"/>
  <c r="C1719" i="4"/>
  <c r="J1718" i="4"/>
  <c r="I1718" i="4"/>
  <c r="C1718" i="4"/>
  <c r="J1717" i="4"/>
  <c r="I1717" i="4"/>
  <c r="C1717" i="4"/>
  <c r="J1716" i="4"/>
  <c r="I1716" i="4"/>
  <c r="C1716" i="4"/>
  <c r="J1715" i="4"/>
  <c r="I1715" i="4"/>
  <c r="C1715" i="4"/>
  <c r="C1714" i="4"/>
  <c r="J1713" i="4"/>
  <c r="I1713" i="4"/>
  <c r="C1713" i="4"/>
  <c r="J1712" i="4"/>
  <c r="I1712" i="4"/>
  <c r="C1712" i="4"/>
  <c r="J1711" i="4"/>
  <c r="I1711" i="4"/>
  <c r="C1711" i="4"/>
  <c r="J1710" i="4"/>
  <c r="I1710" i="4"/>
  <c r="C1710" i="4"/>
  <c r="J1709" i="4"/>
  <c r="I1709" i="4"/>
  <c r="C1709" i="4"/>
  <c r="J1708" i="4"/>
  <c r="I1708" i="4"/>
  <c r="C1708" i="4"/>
  <c r="J1707" i="4"/>
  <c r="I1707" i="4"/>
  <c r="C1707" i="4"/>
  <c r="C1706" i="4"/>
  <c r="J1705" i="4"/>
  <c r="I1705" i="4"/>
  <c r="C1705" i="4"/>
  <c r="C1704" i="4"/>
  <c r="J1703" i="4"/>
  <c r="I1703" i="4"/>
  <c r="C1703" i="4"/>
  <c r="J1702" i="4"/>
  <c r="I1702" i="4"/>
  <c r="C1702" i="4"/>
  <c r="J1701" i="4"/>
  <c r="I1701" i="4"/>
  <c r="C1701" i="4"/>
  <c r="J1700" i="4"/>
  <c r="I1700" i="4"/>
  <c r="C1700" i="4"/>
  <c r="J1699" i="4"/>
  <c r="I1699" i="4"/>
  <c r="C1699" i="4"/>
  <c r="J1698" i="4"/>
  <c r="I1698" i="4"/>
  <c r="C1698" i="4"/>
  <c r="J1697" i="4"/>
  <c r="I1697" i="4"/>
  <c r="C1697" i="4"/>
  <c r="C1696" i="4"/>
  <c r="C1695" i="4"/>
  <c r="J1694" i="4"/>
  <c r="I1694" i="4"/>
  <c r="C1694" i="4"/>
  <c r="J1693" i="4"/>
  <c r="I1693" i="4"/>
  <c r="C1693" i="4"/>
  <c r="J1692" i="4"/>
  <c r="I1692" i="4"/>
  <c r="C1692" i="4"/>
  <c r="J1691" i="4"/>
  <c r="I1691" i="4"/>
  <c r="C1691" i="4"/>
  <c r="J1690" i="4"/>
  <c r="I1690" i="4"/>
  <c r="C1690" i="4"/>
  <c r="J1689" i="4"/>
  <c r="I1689" i="4"/>
  <c r="C1689" i="4"/>
  <c r="J1688" i="4"/>
  <c r="I1688" i="4"/>
  <c r="C1688" i="4"/>
  <c r="C1687" i="4"/>
  <c r="J1686" i="4"/>
  <c r="I1686" i="4"/>
  <c r="C1686" i="4"/>
  <c r="J1685" i="4"/>
  <c r="I1685" i="4"/>
  <c r="C1685" i="4"/>
  <c r="J1684" i="4"/>
  <c r="I1684" i="4"/>
  <c r="C1684" i="4"/>
  <c r="J1683" i="4"/>
  <c r="I1683" i="4"/>
  <c r="C1683" i="4"/>
  <c r="J1682" i="4"/>
  <c r="I1682" i="4"/>
  <c r="C1682" i="4"/>
  <c r="J1681" i="4"/>
  <c r="I1681" i="4"/>
  <c r="C1681" i="4"/>
  <c r="J1680" i="4"/>
  <c r="I1680" i="4"/>
  <c r="C1680" i="4"/>
  <c r="C1679" i="4"/>
  <c r="J1678" i="4"/>
  <c r="I1678" i="4"/>
  <c r="C1678" i="4"/>
  <c r="J1677" i="4"/>
  <c r="I1677" i="4"/>
  <c r="C1677" i="4"/>
  <c r="J1676" i="4"/>
  <c r="I1676" i="4"/>
  <c r="C1676" i="4"/>
  <c r="J1675" i="4"/>
  <c r="I1675" i="4"/>
  <c r="C1675" i="4"/>
  <c r="J1674" i="4"/>
  <c r="I1674" i="4"/>
  <c r="C1674" i="4"/>
  <c r="J1673" i="4"/>
  <c r="I1673" i="4"/>
  <c r="C1673" i="4"/>
  <c r="J1672" i="4"/>
  <c r="I1672" i="4"/>
  <c r="C1672" i="4"/>
  <c r="C1671" i="4"/>
  <c r="J1670" i="4"/>
  <c r="I1670" i="4"/>
  <c r="C1670" i="4"/>
  <c r="J1669" i="4"/>
  <c r="I1669" i="4"/>
  <c r="C1669" i="4"/>
  <c r="J1668" i="4"/>
  <c r="I1668" i="4"/>
  <c r="C1668" i="4"/>
  <c r="J1667" i="4"/>
  <c r="I1667" i="4"/>
  <c r="C1667" i="4"/>
  <c r="J1666" i="4"/>
  <c r="I1666" i="4"/>
  <c r="C1666" i="4"/>
  <c r="J1665" i="4"/>
  <c r="I1665" i="4"/>
  <c r="C1665" i="4"/>
  <c r="J1664" i="4"/>
  <c r="I1664" i="4"/>
  <c r="C1664" i="4"/>
  <c r="C1663" i="4"/>
  <c r="J1662" i="4"/>
  <c r="I1662" i="4"/>
  <c r="C1662" i="4"/>
  <c r="J1661" i="4"/>
  <c r="I1661" i="4"/>
  <c r="C1661" i="4"/>
  <c r="J1660" i="4"/>
  <c r="I1660" i="4"/>
  <c r="C1660" i="4"/>
  <c r="J1659" i="4"/>
  <c r="I1659" i="4"/>
  <c r="C1659" i="4"/>
  <c r="J1658" i="4"/>
  <c r="I1658" i="4"/>
  <c r="C1658" i="4"/>
  <c r="J1657" i="4"/>
  <c r="I1657" i="4"/>
  <c r="C1657" i="4"/>
  <c r="J1656" i="4"/>
  <c r="I1656" i="4"/>
  <c r="C1656" i="4"/>
  <c r="C1655" i="4"/>
  <c r="J1654" i="4"/>
  <c r="I1654" i="4"/>
  <c r="C1654" i="4"/>
  <c r="J1653" i="4"/>
  <c r="I1653" i="4"/>
  <c r="C1653" i="4"/>
  <c r="J1652" i="4"/>
  <c r="I1652" i="4"/>
  <c r="C1652" i="4"/>
  <c r="J1651" i="4"/>
  <c r="I1651" i="4"/>
  <c r="C1651" i="4"/>
  <c r="J1650" i="4"/>
  <c r="I1650" i="4"/>
  <c r="C1650" i="4"/>
  <c r="J1649" i="4"/>
  <c r="I1649" i="4"/>
  <c r="C1649" i="4"/>
  <c r="J1648" i="4"/>
  <c r="I1648" i="4"/>
  <c r="C1648" i="4"/>
  <c r="C1647" i="4"/>
  <c r="J1646" i="4"/>
  <c r="I1646" i="4"/>
  <c r="C1646" i="4"/>
  <c r="J1645" i="4"/>
  <c r="I1645" i="4"/>
  <c r="C1645" i="4"/>
  <c r="J1644" i="4"/>
  <c r="I1644" i="4"/>
  <c r="C1644" i="4"/>
  <c r="J1643" i="4"/>
  <c r="I1643" i="4"/>
  <c r="C1643" i="4"/>
  <c r="J1642" i="4"/>
  <c r="I1642" i="4"/>
  <c r="C1642" i="4"/>
  <c r="J1641" i="4"/>
  <c r="I1641" i="4"/>
  <c r="C1641" i="4"/>
  <c r="C1640" i="4"/>
  <c r="J1639" i="4"/>
  <c r="I1639" i="4"/>
  <c r="C1639" i="4"/>
  <c r="J1638" i="4"/>
  <c r="I1638" i="4"/>
  <c r="C1638" i="4"/>
  <c r="J1637" i="4"/>
  <c r="I1637" i="4"/>
  <c r="C1637" i="4"/>
  <c r="J1636" i="4"/>
  <c r="I1636" i="4"/>
  <c r="C1636" i="4"/>
  <c r="J1635" i="4"/>
  <c r="I1635" i="4"/>
  <c r="C1635" i="4"/>
  <c r="J1634" i="4"/>
  <c r="I1634" i="4"/>
  <c r="C1634" i="4"/>
  <c r="J1633" i="4"/>
  <c r="I1633" i="4"/>
  <c r="C1633" i="4"/>
  <c r="C1632" i="4"/>
  <c r="J1631" i="4"/>
  <c r="I1631" i="4"/>
  <c r="C1631" i="4"/>
  <c r="J1630" i="4"/>
  <c r="I1630" i="4"/>
  <c r="C1630" i="4"/>
  <c r="J1629" i="4"/>
  <c r="I1629" i="4"/>
  <c r="C1629" i="4"/>
  <c r="J1628" i="4"/>
  <c r="I1628" i="4"/>
  <c r="C1628" i="4"/>
  <c r="C1627" i="4"/>
  <c r="J1626" i="4"/>
  <c r="I1626" i="4"/>
  <c r="C1626" i="4"/>
  <c r="J1625" i="4"/>
  <c r="I1625" i="4"/>
  <c r="C1625" i="4"/>
  <c r="J1624" i="4"/>
  <c r="I1624" i="4"/>
  <c r="C1624" i="4"/>
  <c r="C1623" i="4"/>
  <c r="J1622" i="4"/>
  <c r="I1622" i="4"/>
  <c r="C1622" i="4"/>
  <c r="J1621" i="4"/>
  <c r="I1621" i="4"/>
  <c r="C1621" i="4"/>
  <c r="J1620" i="4"/>
  <c r="I1620" i="4"/>
  <c r="C1620" i="4"/>
  <c r="J1619" i="4"/>
  <c r="I1619" i="4"/>
  <c r="C1619" i="4"/>
  <c r="J1618" i="4"/>
  <c r="I1618" i="4"/>
  <c r="C1618" i="4"/>
  <c r="J1617" i="4"/>
  <c r="I1617" i="4"/>
  <c r="C1617" i="4"/>
  <c r="J1616" i="4"/>
  <c r="I1616" i="4"/>
  <c r="C1616" i="4"/>
  <c r="C1615" i="4"/>
  <c r="J1614" i="4"/>
  <c r="I1614" i="4"/>
  <c r="C1614" i="4"/>
  <c r="J1613" i="4"/>
  <c r="I1613" i="4"/>
  <c r="C1613" i="4"/>
  <c r="J1612" i="4"/>
  <c r="I1612" i="4"/>
  <c r="C1612" i="4"/>
  <c r="J1611" i="4"/>
  <c r="I1611" i="4"/>
  <c r="C1611" i="4"/>
  <c r="J1610" i="4"/>
  <c r="I1610" i="4"/>
  <c r="C1610" i="4"/>
  <c r="J1609" i="4"/>
  <c r="I1609" i="4"/>
  <c r="C1609" i="4"/>
  <c r="J1608" i="4"/>
  <c r="I1608" i="4"/>
  <c r="C1608" i="4"/>
  <c r="J1607" i="4"/>
  <c r="I1607" i="4"/>
  <c r="C1607" i="4"/>
  <c r="J1606" i="4"/>
  <c r="I1606" i="4"/>
  <c r="C1606" i="4"/>
  <c r="J1605" i="4"/>
  <c r="I1605" i="4"/>
  <c r="C1605" i="4"/>
  <c r="J1604" i="4"/>
  <c r="I1604" i="4"/>
  <c r="C1604" i="4"/>
  <c r="J1603" i="4"/>
  <c r="I1603" i="4"/>
  <c r="C1603" i="4"/>
  <c r="J1602" i="4"/>
  <c r="I1602" i="4"/>
  <c r="C1602" i="4"/>
  <c r="J1601" i="4"/>
  <c r="I1601" i="4"/>
  <c r="C1601" i="4"/>
  <c r="C1600" i="4"/>
  <c r="C1599" i="4"/>
  <c r="J1598" i="4"/>
  <c r="I1598" i="4"/>
  <c r="C1598" i="4"/>
  <c r="J1597" i="4"/>
  <c r="I1597" i="4"/>
  <c r="C1597" i="4"/>
  <c r="J1596" i="4"/>
  <c r="I1596" i="4"/>
  <c r="C1596" i="4"/>
  <c r="J1595" i="4"/>
  <c r="I1595" i="4"/>
  <c r="C1595" i="4"/>
  <c r="J1594" i="4"/>
  <c r="I1594" i="4"/>
  <c r="C1594" i="4"/>
  <c r="J1593" i="4"/>
  <c r="I1593" i="4"/>
  <c r="C1593" i="4"/>
  <c r="J1592" i="4"/>
  <c r="I1592" i="4"/>
  <c r="C1592" i="4"/>
  <c r="C1591" i="4"/>
  <c r="J1590" i="4"/>
  <c r="I1590" i="4"/>
  <c r="C1590" i="4"/>
  <c r="J1589" i="4"/>
  <c r="I1589" i="4"/>
  <c r="C1589" i="4"/>
  <c r="J1588" i="4"/>
  <c r="I1588" i="4"/>
  <c r="C1588" i="4"/>
  <c r="J1587" i="4"/>
  <c r="I1587" i="4"/>
  <c r="C1587" i="4"/>
  <c r="J1586" i="4"/>
  <c r="I1586" i="4"/>
  <c r="C1586" i="4"/>
  <c r="J1585" i="4"/>
  <c r="I1585" i="4"/>
  <c r="C1585" i="4"/>
  <c r="J1584" i="4"/>
  <c r="I1584" i="4"/>
  <c r="C1584" i="4"/>
  <c r="C1583" i="4"/>
  <c r="J1582" i="4"/>
  <c r="I1582" i="4"/>
  <c r="C1582" i="4"/>
  <c r="C1581" i="4"/>
  <c r="J1580" i="4"/>
  <c r="I1580" i="4"/>
  <c r="C1580" i="4"/>
  <c r="J1579" i="4"/>
  <c r="I1579" i="4"/>
  <c r="C1579" i="4"/>
  <c r="J1578" i="4"/>
  <c r="I1578" i="4"/>
  <c r="C1578" i="4"/>
  <c r="J1577" i="4"/>
  <c r="I1577" i="4"/>
  <c r="C1577" i="4"/>
  <c r="J1576" i="4"/>
  <c r="I1576" i="4"/>
  <c r="C1576" i="4"/>
  <c r="J1575" i="4"/>
  <c r="I1575" i="4"/>
  <c r="C1575" i="4"/>
  <c r="J1574" i="4"/>
  <c r="I1574" i="4"/>
  <c r="C1574" i="4"/>
  <c r="C1573" i="4"/>
  <c r="J1572" i="4"/>
  <c r="I1572" i="4"/>
  <c r="C1572" i="4"/>
  <c r="J1571" i="4"/>
  <c r="I1571" i="4"/>
  <c r="C1571" i="4"/>
  <c r="J1570" i="4"/>
  <c r="I1570" i="4"/>
  <c r="C1570" i="4"/>
  <c r="C1569" i="4"/>
  <c r="J1568" i="4"/>
  <c r="I1568" i="4"/>
  <c r="C1568" i="4"/>
  <c r="J1567" i="4"/>
  <c r="I1567" i="4"/>
  <c r="C1567" i="4"/>
  <c r="J1566" i="4"/>
  <c r="I1566" i="4"/>
  <c r="C1566" i="4"/>
  <c r="J1565" i="4"/>
  <c r="I1565" i="4"/>
  <c r="C1565" i="4"/>
  <c r="C1564" i="4"/>
  <c r="J1563" i="4"/>
  <c r="I1563" i="4"/>
  <c r="C1563" i="4"/>
  <c r="J1562" i="4"/>
  <c r="I1562" i="4"/>
  <c r="C1562" i="4"/>
  <c r="J1561" i="4"/>
  <c r="I1561" i="4"/>
  <c r="C1561" i="4"/>
  <c r="J1560" i="4"/>
  <c r="I1560" i="4"/>
  <c r="C1560" i="4"/>
  <c r="J1559" i="4"/>
  <c r="I1559" i="4"/>
  <c r="C1559" i="4"/>
  <c r="J1558" i="4"/>
  <c r="I1558" i="4"/>
  <c r="C1558" i="4"/>
  <c r="J1557" i="4"/>
  <c r="I1557" i="4"/>
  <c r="C1557" i="4"/>
  <c r="C1556" i="4"/>
  <c r="J1555" i="4"/>
  <c r="I1555" i="4"/>
  <c r="C1555" i="4"/>
  <c r="J1554" i="4"/>
  <c r="I1554" i="4"/>
  <c r="C1554" i="4"/>
  <c r="J1553" i="4"/>
  <c r="I1553" i="4"/>
  <c r="C1553" i="4"/>
  <c r="J1552" i="4"/>
  <c r="I1552" i="4"/>
  <c r="C1552" i="4"/>
  <c r="J1551" i="4"/>
  <c r="I1551" i="4"/>
  <c r="C1551" i="4"/>
  <c r="J1550" i="4"/>
  <c r="I1550" i="4"/>
  <c r="C1550" i="4"/>
  <c r="J1549" i="4"/>
  <c r="I1549" i="4"/>
  <c r="C1549" i="4"/>
  <c r="C1548" i="4"/>
  <c r="J1547" i="4"/>
  <c r="I1547" i="4"/>
  <c r="C1547" i="4"/>
  <c r="J1546" i="4"/>
  <c r="I1546" i="4"/>
  <c r="C1546" i="4"/>
  <c r="J1545" i="4"/>
  <c r="I1545" i="4"/>
  <c r="C1545" i="4"/>
  <c r="J1544" i="4"/>
  <c r="I1544" i="4"/>
  <c r="C1544" i="4"/>
  <c r="J1543" i="4"/>
  <c r="I1543" i="4"/>
  <c r="C1543" i="4"/>
  <c r="J1542" i="4"/>
  <c r="I1542" i="4"/>
  <c r="C1542" i="4"/>
  <c r="J1541" i="4"/>
  <c r="I1541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J1516" i="4"/>
  <c r="I1516" i="4"/>
  <c r="C1516" i="4"/>
  <c r="J1515" i="4"/>
  <c r="I1515" i="4"/>
  <c r="C1515" i="4"/>
  <c r="C1514" i="4"/>
  <c r="J1513" i="4"/>
  <c r="I1513" i="4"/>
  <c r="C1513" i="4"/>
  <c r="J1512" i="4"/>
  <c r="I1512" i="4"/>
  <c r="C1512" i="4"/>
  <c r="C1511" i="4"/>
  <c r="J1510" i="4"/>
  <c r="I1510" i="4"/>
  <c r="C1510" i="4"/>
  <c r="J1509" i="4"/>
  <c r="I1509" i="4"/>
  <c r="C1509" i="4"/>
  <c r="J1508" i="4"/>
  <c r="I1508" i="4"/>
  <c r="C1508" i="4"/>
  <c r="J1507" i="4"/>
  <c r="I1507" i="4"/>
  <c r="C1507" i="4"/>
  <c r="J1506" i="4"/>
  <c r="I1506" i="4"/>
  <c r="C1506" i="4"/>
  <c r="J1505" i="4"/>
  <c r="I1505" i="4"/>
  <c r="C1505" i="4"/>
  <c r="J1504" i="4"/>
  <c r="I1504" i="4"/>
  <c r="C1504" i="4"/>
  <c r="J1503" i="4"/>
  <c r="I1503" i="4"/>
  <c r="C1503" i="4"/>
  <c r="J1502" i="4"/>
  <c r="I1502" i="4"/>
  <c r="C1502" i="4"/>
  <c r="J1501" i="4"/>
  <c r="I1501" i="4"/>
  <c r="C1501" i="4"/>
  <c r="J1500" i="4"/>
  <c r="I1500" i="4"/>
  <c r="C1500" i="4"/>
  <c r="J1499" i="4"/>
  <c r="I1499" i="4"/>
  <c r="C1499" i="4"/>
  <c r="J1498" i="4"/>
  <c r="I1498" i="4"/>
  <c r="C1498" i="4"/>
  <c r="J1497" i="4"/>
  <c r="I1497" i="4"/>
  <c r="C1497" i="4"/>
  <c r="J1496" i="4"/>
  <c r="I1496" i="4"/>
  <c r="C1496" i="4"/>
  <c r="J1495" i="4"/>
  <c r="I1495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J1429" i="4"/>
  <c r="I1429" i="4"/>
  <c r="C1429" i="4"/>
  <c r="J1428" i="4"/>
  <c r="I1428" i="4"/>
  <c r="C1428" i="4"/>
  <c r="J1427" i="4"/>
  <c r="I1427" i="4"/>
  <c r="C1427" i="4"/>
  <c r="J1426" i="4"/>
  <c r="I1426" i="4"/>
  <c r="C1426" i="4"/>
  <c r="J1425" i="4"/>
  <c r="I1425" i="4"/>
  <c r="C1425" i="4"/>
  <c r="J1424" i="4"/>
  <c r="I1424" i="4"/>
  <c r="C1424" i="4"/>
  <c r="J1423" i="4"/>
  <c r="I1423" i="4"/>
  <c r="C1423" i="4"/>
  <c r="C1422" i="4"/>
  <c r="C1421" i="4"/>
  <c r="C1420" i="4"/>
  <c r="C1419" i="4"/>
  <c r="C1418" i="4"/>
  <c r="C1417" i="4"/>
  <c r="J1416" i="4"/>
  <c r="I1416" i="4"/>
  <c r="C1416" i="4"/>
  <c r="J1415" i="4"/>
  <c r="I1415" i="4"/>
  <c r="C1415" i="4"/>
  <c r="J1414" i="4"/>
  <c r="I1414" i="4"/>
  <c r="C1414" i="4"/>
  <c r="J1413" i="4"/>
  <c r="I1413" i="4"/>
  <c r="C1413" i="4"/>
  <c r="J1412" i="4"/>
  <c r="I1412" i="4"/>
  <c r="C1412" i="4"/>
  <c r="J1411" i="4"/>
  <c r="I1411" i="4"/>
  <c r="C1411" i="4"/>
  <c r="J1410" i="4"/>
  <c r="I1410" i="4"/>
  <c r="C1410" i="4"/>
  <c r="C1409" i="4"/>
  <c r="J1408" i="4"/>
  <c r="I1408" i="4"/>
  <c r="C1408" i="4"/>
  <c r="J1407" i="4"/>
  <c r="I1407" i="4"/>
  <c r="C1407" i="4"/>
  <c r="J1406" i="4"/>
  <c r="I1406" i="4"/>
  <c r="C1406" i="4"/>
  <c r="J1405" i="4"/>
  <c r="I1405" i="4"/>
  <c r="C1405" i="4"/>
  <c r="J1404" i="4"/>
  <c r="I1404" i="4"/>
  <c r="C1404" i="4"/>
  <c r="J1403" i="4"/>
  <c r="I1403" i="4"/>
  <c r="C1403" i="4"/>
  <c r="C1402" i="4"/>
  <c r="J1401" i="4"/>
  <c r="I1401" i="4"/>
  <c r="C1401" i="4"/>
  <c r="J1400" i="4"/>
  <c r="I1400" i="4"/>
  <c r="C1400" i="4"/>
  <c r="J1399" i="4"/>
  <c r="I1399" i="4"/>
  <c r="C1399" i="4"/>
  <c r="J1398" i="4"/>
  <c r="I1398" i="4"/>
  <c r="C1398" i="4"/>
  <c r="J1397" i="4"/>
  <c r="I1397" i="4"/>
  <c r="C1397" i="4"/>
  <c r="J1396" i="4"/>
  <c r="I1396" i="4"/>
  <c r="C1396" i="4"/>
  <c r="J1395" i="4"/>
  <c r="I1395" i="4"/>
  <c r="C1395" i="4"/>
  <c r="C1394" i="4"/>
  <c r="J1393" i="4"/>
  <c r="I1393" i="4"/>
  <c r="C1393" i="4"/>
  <c r="J1392" i="4"/>
  <c r="I1392" i="4"/>
  <c r="C1392" i="4"/>
  <c r="J1391" i="4"/>
  <c r="I1391" i="4"/>
  <c r="C1391" i="4"/>
  <c r="J1390" i="4"/>
  <c r="I1390" i="4"/>
  <c r="C1390" i="4"/>
  <c r="J1389" i="4"/>
  <c r="I1389" i="4"/>
  <c r="C1389" i="4"/>
  <c r="C1388" i="4"/>
  <c r="J1387" i="4"/>
  <c r="I1387" i="4"/>
  <c r="C1387" i="4"/>
  <c r="J1386" i="4"/>
  <c r="I1386" i="4"/>
  <c r="C1386" i="4"/>
  <c r="J1385" i="4"/>
  <c r="I1385" i="4"/>
  <c r="C1385" i="4"/>
  <c r="J1384" i="4"/>
  <c r="I1384" i="4"/>
  <c r="C1384" i="4"/>
  <c r="J1383" i="4"/>
  <c r="I1383" i="4"/>
  <c r="C1383" i="4"/>
  <c r="J1382" i="4"/>
  <c r="I1382" i="4"/>
  <c r="C1382" i="4"/>
  <c r="J1381" i="4"/>
  <c r="I1381" i="4"/>
  <c r="C1381" i="4"/>
  <c r="C1380" i="4"/>
  <c r="J1379" i="4"/>
  <c r="I1379" i="4"/>
  <c r="C1379" i="4"/>
  <c r="J1378" i="4"/>
  <c r="I1378" i="4"/>
  <c r="C1378" i="4"/>
  <c r="J1377" i="4"/>
  <c r="I1377" i="4"/>
  <c r="C1377" i="4"/>
  <c r="J1376" i="4"/>
  <c r="I1376" i="4"/>
  <c r="C1376" i="4"/>
  <c r="J1375" i="4"/>
  <c r="I1375" i="4"/>
  <c r="C1375" i="4"/>
  <c r="J1374" i="4"/>
  <c r="I1374" i="4"/>
  <c r="C1374" i="4"/>
  <c r="J1373" i="4"/>
  <c r="I1373" i="4"/>
  <c r="C1373" i="4"/>
  <c r="C1372" i="4"/>
  <c r="J1371" i="4"/>
  <c r="I1371" i="4"/>
  <c r="C1371" i="4"/>
  <c r="J1370" i="4"/>
  <c r="I1370" i="4"/>
  <c r="C1370" i="4"/>
  <c r="J1369" i="4"/>
  <c r="I1369" i="4"/>
  <c r="C1369" i="4"/>
  <c r="J1368" i="4"/>
  <c r="I1368" i="4"/>
  <c r="C1368" i="4"/>
  <c r="J1367" i="4"/>
  <c r="I1367" i="4"/>
  <c r="C1367" i="4"/>
  <c r="J1366" i="4"/>
  <c r="I1366" i="4"/>
  <c r="C1366" i="4"/>
  <c r="J1365" i="4"/>
  <c r="I1365" i="4"/>
  <c r="C1365" i="4"/>
  <c r="C1364" i="4"/>
  <c r="J1363" i="4"/>
  <c r="I1363" i="4"/>
  <c r="C1363" i="4"/>
  <c r="J1362" i="4"/>
  <c r="I1362" i="4"/>
  <c r="C1362" i="4"/>
  <c r="J1361" i="4"/>
  <c r="I1361" i="4"/>
  <c r="C1361" i="4"/>
  <c r="J1360" i="4"/>
  <c r="I1360" i="4"/>
  <c r="C1360" i="4"/>
  <c r="J1359" i="4"/>
  <c r="I1359" i="4"/>
  <c r="C1359" i="4"/>
  <c r="J1358" i="4"/>
  <c r="I1358" i="4"/>
  <c r="C1358" i="4"/>
  <c r="J1357" i="4"/>
  <c r="I1357" i="4"/>
  <c r="C1357" i="4"/>
  <c r="C1356" i="4"/>
  <c r="J1355" i="4"/>
  <c r="I1355" i="4"/>
  <c r="C1355" i="4"/>
  <c r="J1354" i="4"/>
  <c r="I1354" i="4"/>
  <c r="C1354" i="4"/>
  <c r="J1353" i="4"/>
  <c r="I1353" i="4"/>
  <c r="C1353" i="4"/>
  <c r="J1352" i="4"/>
  <c r="I1352" i="4"/>
  <c r="C1352" i="4"/>
  <c r="J1351" i="4"/>
  <c r="I1351" i="4"/>
  <c r="C1351" i="4"/>
  <c r="J1350" i="4"/>
  <c r="I1350" i="4"/>
  <c r="C1350" i="4"/>
  <c r="J1349" i="4"/>
  <c r="I1349" i="4"/>
  <c r="C1349" i="4"/>
  <c r="C1348" i="4"/>
  <c r="J1347" i="4"/>
  <c r="I1347" i="4"/>
  <c r="C1347" i="4"/>
  <c r="J1346" i="4"/>
  <c r="I1346" i="4"/>
  <c r="C1346" i="4"/>
  <c r="J1345" i="4"/>
  <c r="I1345" i="4"/>
  <c r="C1345" i="4"/>
  <c r="J1344" i="4"/>
  <c r="I1344" i="4"/>
  <c r="C1344" i="4"/>
  <c r="J1343" i="4"/>
  <c r="I1343" i="4"/>
  <c r="C1343" i="4"/>
  <c r="J1342" i="4"/>
  <c r="I1342" i="4"/>
  <c r="C1342" i="4"/>
  <c r="J1341" i="4"/>
  <c r="I1341" i="4"/>
  <c r="C1341" i="4"/>
  <c r="C1340" i="4"/>
  <c r="J1339" i="4"/>
  <c r="I1339" i="4"/>
  <c r="C1339" i="4"/>
  <c r="J1338" i="4"/>
  <c r="I1338" i="4"/>
  <c r="C1338" i="4"/>
  <c r="C1337" i="4"/>
  <c r="J1336" i="4"/>
  <c r="I1336" i="4"/>
  <c r="C1336" i="4"/>
  <c r="J1335" i="4"/>
  <c r="I1335" i="4"/>
  <c r="C1335" i="4"/>
  <c r="J1334" i="4"/>
  <c r="I1334" i="4"/>
  <c r="C1334" i="4"/>
  <c r="J1333" i="4"/>
  <c r="I1333" i="4"/>
  <c r="C1333" i="4"/>
  <c r="J1332" i="4"/>
  <c r="I1332" i="4"/>
  <c r="C1332" i="4"/>
  <c r="J1331" i="4"/>
  <c r="I1331" i="4"/>
  <c r="C1331" i="4"/>
  <c r="J1330" i="4"/>
  <c r="I1330" i="4"/>
  <c r="C1330" i="4"/>
  <c r="C1329" i="4"/>
  <c r="C1328" i="4"/>
  <c r="C1327" i="4"/>
  <c r="C1326" i="4"/>
  <c r="J1325" i="4"/>
  <c r="I1325" i="4"/>
  <c r="C1325" i="4"/>
  <c r="J1324" i="4"/>
  <c r="I1324" i="4"/>
  <c r="C1324" i="4"/>
  <c r="J1323" i="4"/>
  <c r="I1323" i="4"/>
  <c r="C1323" i="4"/>
  <c r="J1322" i="4"/>
  <c r="I1322" i="4"/>
  <c r="C1322" i="4"/>
  <c r="J1321" i="4"/>
  <c r="I1321" i="4"/>
  <c r="C1321" i="4"/>
  <c r="J1320" i="4"/>
  <c r="I1320" i="4"/>
  <c r="C1320" i="4"/>
  <c r="J1319" i="4"/>
  <c r="I1319" i="4"/>
  <c r="C1319" i="4"/>
  <c r="C1318" i="4"/>
  <c r="J1317" i="4"/>
  <c r="I1317" i="4"/>
  <c r="C1317" i="4"/>
  <c r="C1316" i="4"/>
  <c r="J1315" i="4"/>
  <c r="I1315" i="4"/>
  <c r="C1315" i="4"/>
  <c r="J1314" i="4"/>
  <c r="I1314" i="4"/>
  <c r="C1314" i="4"/>
  <c r="J1313" i="4"/>
  <c r="I1313" i="4"/>
  <c r="C1313" i="4"/>
  <c r="J1312" i="4"/>
  <c r="I1312" i="4"/>
  <c r="C1312" i="4"/>
  <c r="J1311" i="4"/>
  <c r="I1311" i="4"/>
  <c r="C1311" i="4"/>
  <c r="J1310" i="4"/>
  <c r="I1310" i="4"/>
  <c r="C1310" i="4"/>
  <c r="C1309" i="4"/>
  <c r="J1308" i="4"/>
  <c r="I1308" i="4"/>
  <c r="C1308" i="4"/>
  <c r="J1307" i="4"/>
  <c r="I1307" i="4"/>
  <c r="C1307" i="4"/>
  <c r="J1306" i="4"/>
  <c r="I1306" i="4"/>
  <c r="C1306" i="4"/>
  <c r="J1305" i="4"/>
  <c r="I1305" i="4"/>
  <c r="C1305" i="4"/>
  <c r="J1304" i="4"/>
  <c r="I1304" i="4"/>
  <c r="C1304" i="4"/>
  <c r="J1303" i="4"/>
  <c r="I1303" i="4"/>
  <c r="C1303" i="4"/>
  <c r="J1302" i="4"/>
  <c r="I1302" i="4"/>
  <c r="C1302" i="4"/>
  <c r="C1301" i="4"/>
  <c r="J1300" i="4"/>
  <c r="I1300" i="4"/>
  <c r="C1300" i="4"/>
  <c r="J1299" i="4"/>
  <c r="I1299" i="4"/>
  <c r="C1299" i="4"/>
  <c r="J1298" i="4"/>
  <c r="I1298" i="4"/>
  <c r="C1298" i="4"/>
  <c r="J1297" i="4"/>
  <c r="I1297" i="4"/>
  <c r="C1297" i="4"/>
  <c r="J1296" i="4"/>
  <c r="I1296" i="4"/>
  <c r="C1296" i="4"/>
  <c r="J1295" i="4"/>
  <c r="I1295" i="4"/>
  <c r="C1295" i="4"/>
  <c r="J1294" i="4"/>
  <c r="I1294" i="4"/>
  <c r="C1294" i="4"/>
  <c r="C1293" i="4"/>
  <c r="J1292" i="4"/>
  <c r="I1292" i="4"/>
  <c r="C1292" i="4"/>
  <c r="J1291" i="4"/>
  <c r="I1291" i="4"/>
  <c r="C1291" i="4"/>
  <c r="J1290" i="4"/>
  <c r="I1290" i="4"/>
  <c r="C1290" i="4"/>
  <c r="J1289" i="4"/>
  <c r="I1289" i="4"/>
  <c r="C1289" i="4"/>
  <c r="J1288" i="4"/>
  <c r="I1288" i="4"/>
  <c r="C1288" i="4"/>
  <c r="C1287" i="4"/>
  <c r="J1286" i="4"/>
  <c r="I1286" i="4"/>
  <c r="C1286" i="4"/>
  <c r="J1285" i="4"/>
  <c r="I1285" i="4"/>
  <c r="C1285" i="4"/>
  <c r="J1284" i="4"/>
  <c r="I1284" i="4"/>
  <c r="C1284" i="4"/>
  <c r="J1283" i="4"/>
  <c r="I1283" i="4"/>
  <c r="C1283" i="4"/>
  <c r="J1282" i="4"/>
  <c r="I1282" i="4"/>
  <c r="C1282" i="4"/>
  <c r="J1281" i="4"/>
  <c r="I1281" i="4"/>
  <c r="C1281" i="4"/>
  <c r="J1280" i="4"/>
  <c r="I1280" i="4"/>
  <c r="C1280" i="4"/>
  <c r="C1279" i="4"/>
  <c r="J1278" i="4"/>
  <c r="I1278" i="4"/>
  <c r="C1278" i="4"/>
  <c r="J1277" i="4"/>
  <c r="I1277" i="4"/>
  <c r="C1277" i="4"/>
  <c r="J1276" i="4"/>
  <c r="I1276" i="4"/>
  <c r="C1276" i="4"/>
  <c r="J1275" i="4"/>
  <c r="I1275" i="4"/>
  <c r="C1275" i="4"/>
  <c r="J1274" i="4"/>
  <c r="I1274" i="4"/>
  <c r="C1274" i="4"/>
  <c r="J1273" i="4"/>
  <c r="I1273" i="4"/>
  <c r="C1273" i="4"/>
  <c r="J1272" i="4"/>
  <c r="I1272" i="4"/>
  <c r="C1272" i="4"/>
  <c r="C1271" i="4"/>
  <c r="J1270" i="4"/>
  <c r="I1270" i="4"/>
  <c r="C1270" i="4"/>
  <c r="J1269" i="4"/>
  <c r="I1269" i="4"/>
  <c r="C1269" i="4"/>
  <c r="J1268" i="4"/>
  <c r="I1268" i="4"/>
  <c r="C1268" i="4"/>
  <c r="J1267" i="4"/>
  <c r="I1267" i="4"/>
  <c r="C1267" i="4"/>
  <c r="J1266" i="4"/>
  <c r="I1266" i="4"/>
  <c r="C1266" i="4"/>
  <c r="C1265" i="4"/>
  <c r="J1264" i="4"/>
  <c r="I1264" i="4"/>
  <c r="C1264" i="4"/>
  <c r="C1263" i="4"/>
  <c r="J1262" i="4"/>
  <c r="I1262" i="4"/>
  <c r="C1262" i="4"/>
  <c r="J1261" i="4"/>
  <c r="I1261" i="4"/>
  <c r="C1261" i="4"/>
  <c r="J1260" i="4"/>
  <c r="I1260" i="4"/>
  <c r="C1260" i="4"/>
  <c r="J1259" i="4"/>
  <c r="I1259" i="4"/>
  <c r="C1259" i="4"/>
  <c r="J1258" i="4"/>
  <c r="I1258" i="4"/>
  <c r="C1258" i="4"/>
  <c r="J1257" i="4"/>
  <c r="I1257" i="4"/>
  <c r="C1257" i="4"/>
  <c r="C1256" i="4"/>
  <c r="C1255" i="4"/>
  <c r="J1254" i="4"/>
  <c r="I1254" i="4"/>
  <c r="C1254" i="4"/>
  <c r="J1253" i="4"/>
  <c r="I1253" i="4"/>
  <c r="C1253" i="4"/>
  <c r="J1252" i="4"/>
  <c r="I1252" i="4"/>
  <c r="C1252" i="4"/>
  <c r="J1251" i="4"/>
  <c r="I1251" i="4"/>
  <c r="C1251" i="4"/>
  <c r="J1250" i="4"/>
  <c r="I1250" i="4"/>
  <c r="C1250" i="4"/>
  <c r="J1249" i="4"/>
  <c r="I1249" i="4"/>
  <c r="C1249" i="4"/>
  <c r="J1248" i="4"/>
  <c r="I1248" i="4"/>
  <c r="C1248" i="4"/>
  <c r="C1247" i="4"/>
  <c r="C1246" i="4"/>
  <c r="C1245" i="4"/>
  <c r="C1244" i="4"/>
  <c r="C1243" i="4"/>
  <c r="C1242" i="4"/>
  <c r="C1241" i="4"/>
  <c r="J1240" i="4"/>
  <c r="I1240" i="4"/>
  <c r="C1240" i="4"/>
  <c r="J1239" i="4"/>
  <c r="I1239" i="4"/>
  <c r="C1239" i="4"/>
  <c r="J1238" i="4"/>
  <c r="I1238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J1225" i="4"/>
  <c r="I1225" i="4"/>
  <c r="C1225" i="4"/>
  <c r="J1224" i="4"/>
  <c r="I1224" i="4"/>
  <c r="C1224" i="4"/>
  <c r="J1223" i="4"/>
  <c r="I1223" i="4"/>
  <c r="C1223" i="4"/>
  <c r="J1222" i="4"/>
  <c r="I1222" i="4"/>
  <c r="C1222" i="4"/>
  <c r="J1221" i="4"/>
  <c r="I1221" i="4"/>
  <c r="C1221" i="4"/>
  <c r="J1220" i="4"/>
  <c r="I1220" i="4"/>
  <c r="C1220" i="4"/>
  <c r="J1219" i="4"/>
  <c r="I1219" i="4"/>
  <c r="C1219" i="4"/>
  <c r="C1218" i="4"/>
  <c r="J1217" i="4"/>
  <c r="I1217" i="4"/>
  <c r="C1217" i="4"/>
  <c r="J1216" i="4"/>
  <c r="I1216" i="4"/>
  <c r="C1216" i="4"/>
  <c r="J1215" i="4"/>
  <c r="I1215" i="4"/>
  <c r="C1215" i="4"/>
  <c r="J1214" i="4"/>
  <c r="I1214" i="4"/>
  <c r="C1214" i="4"/>
  <c r="J1213" i="4"/>
  <c r="I1213" i="4"/>
  <c r="C1213" i="4"/>
  <c r="J1212" i="4"/>
  <c r="I1212" i="4"/>
  <c r="C1212" i="4"/>
  <c r="J1211" i="4"/>
  <c r="I1211" i="4"/>
  <c r="C1211" i="4"/>
  <c r="C1210" i="4"/>
  <c r="J1209" i="4"/>
  <c r="I1209" i="4"/>
  <c r="C1209" i="4"/>
  <c r="J1208" i="4"/>
  <c r="I1208" i="4"/>
  <c r="C1208" i="4"/>
  <c r="J1207" i="4"/>
  <c r="I1207" i="4"/>
  <c r="C1207" i="4"/>
  <c r="J1206" i="4"/>
  <c r="I1206" i="4"/>
  <c r="C1206" i="4"/>
  <c r="J1205" i="4"/>
  <c r="I1205" i="4"/>
  <c r="C1205" i="4"/>
  <c r="J1204" i="4"/>
  <c r="I1204" i="4"/>
  <c r="C1204" i="4"/>
  <c r="J1203" i="4"/>
  <c r="I1203" i="4"/>
  <c r="C1203" i="4"/>
  <c r="C1202" i="4"/>
  <c r="J1201" i="4"/>
  <c r="I1201" i="4"/>
  <c r="C1201" i="4"/>
  <c r="J1200" i="4"/>
  <c r="I1200" i="4"/>
  <c r="C1200" i="4"/>
  <c r="J1199" i="4"/>
  <c r="I1199" i="4"/>
  <c r="C1199" i="4"/>
  <c r="J1198" i="4"/>
  <c r="I1198" i="4"/>
  <c r="C1198" i="4"/>
  <c r="J1197" i="4"/>
  <c r="I1197" i="4"/>
  <c r="C1197" i="4"/>
  <c r="J1196" i="4"/>
  <c r="I1196" i="4"/>
  <c r="C1196" i="4"/>
  <c r="J1195" i="4"/>
  <c r="I1195" i="4"/>
  <c r="C1195" i="4"/>
  <c r="C1194" i="4"/>
  <c r="J1193" i="4"/>
  <c r="I1193" i="4"/>
  <c r="C1193" i="4"/>
  <c r="J1192" i="4"/>
  <c r="I1192" i="4"/>
  <c r="C1192" i="4"/>
  <c r="J1191" i="4"/>
  <c r="I1191" i="4"/>
  <c r="C1191" i="4"/>
  <c r="J1190" i="4"/>
  <c r="I1190" i="4"/>
  <c r="C1190" i="4"/>
  <c r="J1189" i="4"/>
  <c r="I1189" i="4"/>
  <c r="C1189" i="4"/>
  <c r="J1188" i="4"/>
  <c r="I1188" i="4"/>
  <c r="C1188" i="4"/>
  <c r="J1187" i="4"/>
  <c r="I1187" i="4"/>
  <c r="C1187" i="4"/>
  <c r="C1186" i="4"/>
  <c r="J1185" i="4"/>
  <c r="I1185" i="4"/>
  <c r="C1185" i="4"/>
  <c r="J1184" i="4"/>
  <c r="I1184" i="4"/>
  <c r="C1184" i="4"/>
  <c r="J1183" i="4"/>
  <c r="I1183" i="4"/>
  <c r="C1183" i="4"/>
  <c r="J1182" i="4"/>
  <c r="I1182" i="4"/>
  <c r="C1182" i="4"/>
  <c r="J1181" i="4"/>
  <c r="I1181" i="4"/>
  <c r="C1181" i="4"/>
  <c r="J1180" i="4"/>
  <c r="I1180" i="4"/>
  <c r="C1180" i="4"/>
  <c r="C1179" i="4"/>
  <c r="J1178" i="4"/>
  <c r="I1178" i="4"/>
  <c r="C1178" i="4"/>
  <c r="J1177" i="4"/>
  <c r="I1177" i="4"/>
  <c r="C1177" i="4"/>
  <c r="J1176" i="4"/>
  <c r="I1176" i="4"/>
  <c r="C1176" i="4"/>
  <c r="J1175" i="4"/>
  <c r="I1175" i="4"/>
  <c r="C1175" i="4"/>
  <c r="J1174" i="4"/>
  <c r="I1174" i="4"/>
  <c r="C1174" i="4"/>
  <c r="J1173" i="4"/>
  <c r="I1173" i="4"/>
  <c r="C1173" i="4"/>
  <c r="J1172" i="4"/>
  <c r="I1172" i="4"/>
  <c r="C1172" i="4"/>
  <c r="C1171" i="4"/>
  <c r="J1170" i="4"/>
  <c r="I1170" i="4"/>
  <c r="C1170" i="4"/>
  <c r="J1169" i="4"/>
  <c r="I1169" i="4"/>
  <c r="C1169" i="4"/>
  <c r="J1168" i="4"/>
  <c r="I1168" i="4"/>
  <c r="C1168" i="4"/>
  <c r="J1167" i="4"/>
  <c r="I1167" i="4"/>
  <c r="C1167" i="4"/>
  <c r="J1166" i="4"/>
  <c r="I1166" i="4"/>
  <c r="C1166" i="4"/>
  <c r="J1165" i="4"/>
  <c r="I1165" i="4"/>
  <c r="C1165" i="4"/>
  <c r="J1164" i="4"/>
  <c r="I1164" i="4"/>
  <c r="C1164" i="4"/>
  <c r="C1163" i="4"/>
  <c r="J1162" i="4"/>
  <c r="I1162" i="4"/>
  <c r="C1162" i="4"/>
  <c r="J1161" i="4"/>
  <c r="I1161" i="4"/>
  <c r="C1161" i="4"/>
  <c r="J1160" i="4"/>
  <c r="I1160" i="4"/>
  <c r="C1160" i="4"/>
  <c r="J1159" i="4"/>
  <c r="I1159" i="4"/>
  <c r="C1159" i="4"/>
  <c r="J1158" i="4"/>
  <c r="I1158" i="4"/>
  <c r="C1158" i="4"/>
  <c r="J1157" i="4"/>
  <c r="I1157" i="4"/>
  <c r="C1157" i="4"/>
  <c r="J1156" i="4"/>
  <c r="I1156" i="4"/>
  <c r="C1156" i="4"/>
  <c r="C1155" i="4"/>
  <c r="J1154" i="4"/>
  <c r="I1154" i="4"/>
  <c r="C1154" i="4"/>
  <c r="J1153" i="4"/>
  <c r="I1153" i="4"/>
  <c r="C1153" i="4"/>
  <c r="J1152" i="4"/>
  <c r="I1152" i="4"/>
  <c r="C1152" i="4"/>
  <c r="J1151" i="4"/>
  <c r="I1151" i="4"/>
  <c r="C1151" i="4"/>
  <c r="C1150" i="4"/>
  <c r="J1149" i="4"/>
  <c r="I1149" i="4"/>
  <c r="C1149" i="4"/>
  <c r="C1148" i="4"/>
  <c r="J1147" i="4"/>
  <c r="I1147" i="4"/>
  <c r="C1147" i="4"/>
  <c r="J1146" i="4"/>
  <c r="I1146" i="4"/>
  <c r="C1146" i="4"/>
  <c r="J1145" i="4"/>
  <c r="I1145" i="4"/>
  <c r="C1145" i="4"/>
  <c r="J1144" i="4"/>
  <c r="I1144" i="4"/>
  <c r="C1144" i="4"/>
  <c r="J1143" i="4"/>
  <c r="I1143" i="4"/>
  <c r="C1143" i="4"/>
  <c r="J1142" i="4"/>
  <c r="I1142" i="4"/>
  <c r="C1142" i="4"/>
  <c r="J1141" i="4"/>
  <c r="I1141" i="4"/>
  <c r="C1141" i="4"/>
  <c r="C1140" i="4"/>
  <c r="J1139" i="4"/>
  <c r="I1139" i="4"/>
  <c r="C1139" i="4"/>
  <c r="J1138" i="4"/>
  <c r="I1138" i="4"/>
  <c r="C1138" i="4"/>
  <c r="J1137" i="4"/>
  <c r="I1137" i="4"/>
  <c r="C1137" i="4"/>
  <c r="J1136" i="4"/>
  <c r="I1136" i="4"/>
  <c r="C1136" i="4"/>
  <c r="J1135" i="4"/>
  <c r="I1135" i="4"/>
  <c r="C1135" i="4"/>
  <c r="J1134" i="4"/>
  <c r="I1134" i="4"/>
  <c r="C1134" i="4"/>
  <c r="J1133" i="4"/>
  <c r="I1133" i="4"/>
  <c r="C1133" i="4"/>
  <c r="C1132" i="4"/>
  <c r="J1131" i="4"/>
  <c r="I1131" i="4"/>
  <c r="C1131" i="4"/>
  <c r="J1130" i="4"/>
  <c r="I1130" i="4"/>
  <c r="C1130" i="4"/>
  <c r="J1129" i="4"/>
  <c r="I1129" i="4"/>
  <c r="C1129" i="4"/>
  <c r="J1128" i="4"/>
  <c r="I1128" i="4"/>
  <c r="C1128" i="4"/>
  <c r="J1127" i="4"/>
  <c r="I1127" i="4"/>
  <c r="C1127" i="4"/>
  <c r="J1126" i="4"/>
  <c r="I1126" i="4"/>
  <c r="C1126" i="4"/>
  <c r="J1125" i="4"/>
  <c r="I1125" i="4"/>
  <c r="C1125" i="4"/>
  <c r="C1124" i="4"/>
  <c r="J1123" i="4"/>
  <c r="I1123" i="4"/>
  <c r="C1123" i="4"/>
  <c r="J1122" i="4"/>
  <c r="I1122" i="4"/>
  <c r="C1122" i="4"/>
  <c r="J1121" i="4"/>
  <c r="I1121" i="4"/>
  <c r="C1121" i="4"/>
  <c r="J1120" i="4"/>
  <c r="I1120" i="4"/>
  <c r="C1120" i="4"/>
  <c r="J1119" i="4"/>
  <c r="I1119" i="4"/>
  <c r="C1119" i="4"/>
  <c r="J1118" i="4"/>
  <c r="I1118" i="4"/>
  <c r="C1118" i="4"/>
  <c r="J1117" i="4"/>
  <c r="I1117" i="4"/>
  <c r="C1117" i="4"/>
  <c r="C1116" i="4"/>
  <c r="C1115" i="4"/>
  <c r="J1114" i="4"/>
  <c r="I1114" i="4"/>
  <c r="C1114" i="4"/>
  <c r="J1113" i="4"/>
  <c r="I1113" i="4"/>
  <c r="C1113" i="4"/>
  <c r="J1112" i="4"/>
  <c r="I1112" i="4"/>
  <c r="C1112" i="4"/>
  <c r="J1111" i="4"/>
  <c r="I1111" i="4"/>
  <c r="C1111" i="4"/>
  <c r="J1110" i="4"/>
  <c r="I1110" i="4"/>
  <c r="C1110" i="4"/>
  <c r="J1109" i="4"/>
  <c r="I1109" i="4"/>
  <c r="C1109" i="4"/>
  <c r="J1108" i="4"/>
  <c r="I1108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J1091" i="4"/>
  <c r="I1091" i="4"/>
  <c r="C1091" i="4"/>
  <c r="J1090" i="4"/>
  <c r="I1090" i="4"/>
  <c r="C1090" i="4"/>
  <c r="J1089" i="4"/>
  <c r="I1089" i="4"/>
  <c r="C1089" i="4"/>
  <c r="J1088" i="4"/>
  <c r="I1088" i="4"/>
  <c r="C1088" i="4"/>
  <c r="J1087" i="4"/>
  <c r="I1087" i="4"/>
  <c r="C1087" i="4"/>
  <c r="J1086" i="4"/>
  <c r="I1086" i="4"/>
  <c r="C1086" i="4"/>
  <c r="J1085" i="4"/>
  <c r="I1085" i="4"/>
  <c r="C1085" i="4"/>
  <c r="C1084" i="4"/>
  <c r="J1083" i="4"/>
  <c r="I1083" i="4"/>
  <c r="C1083" i="4"/>
  <c r="J1082" i="4"/>
  <c r="I1082" i="4"/>
  <c r="C1082" i="4"/>
  <c r="J1081" i="4"/>
  <c r="I1081" i="4"/>
  <c r="C1081" i="4"/>
  <c r="J1080" i="4"/>
  <c r="I1080" i="4"/>
  <c r="C1080" i="4"/>
  <c r="J1079" i="4"/>
  <c r="I1079" i="4"/>
  <c r="C1079" i="4"/>
  <c r="J1078" i="4"/>
  <c r="I1078" i="4"/>
  <c r="C1078" i="4"/>
  <c r="C1077" i="4"/>
  <c r="J1076" i="4"/>
  <c r="I1076" i="4"/>
  <c r="C1076" i="4"/>
  <c r="J1075" i="4"/>
  <c r="I1075" i="4"/>
  <c r="C1075" i="4"/>
  <c r="J1074" i="4"/>
  <c r="I1074" i="4"/>
  <c r="C1074" i="4"/>
  <c r="C1073" i="4"/>
  <c r="J1072" i="4"/>
  <c r="I1072" i="4"/>
  <c r="C1072" i="4"/>
  <c r="J1071" i="4"/>
  <c r="I1071" i="4"/>
  <c r="C1071" i="4"/>
  <c r="J1070" i="4"/>
  <c r="I1070" i="4"/>
  <c r="C1070" i="4"/>
  <c r="J1069" i="4"/>
  <c r="I1069" i="4"/>
  <c r="C1069" i="4"/>
  <c r="J1068" i="4"/>
  <c r="I1068" i="4"/>
  <c r="C1068" i="4"/>
  <c r="J1067" i="4"/>
  <c r="I1067" i="4"/>
  <c r="C1067" i="4"/>
  <c r="J1066" i="4"/>
  <c r="I1066" i="4"/>
  <c r="C1066" i="4"/>
  <c r="C1065" i="4"/>
  <c r="J1064" i="4"/>
  <c r="I1064" i="4"/>
  <c r="C1064" i="4"/>
  <c r="C1063" i="4"/>
  <c r="J1062" i="4"/>
  <c r="I1062" i="4"/>
  <c r="C1062" i="4"/>
  <c r="J1061" i="4"/>
  <c r="I1061" i="4"/>
  <c r="C1061" i="4"/>
  <c r="J1060" i="4"/>
  <c r="I1060" i="4"/>
  <c r="C1060" i="4"/>
  <c r="J1059" i="4"/>
  <c r="I1059" i="4"/>
  <c r="C1059" i="4"/>
  <c r="J1058" i="4"/>
  <c r="I1058" i="4"/>
  <c r="C1058" i="4"/>
  <c r="J1057" i="4"/>
  <c r="I1057" i="4"/>
  <c r="C1057" i="4"/>
  <c r="J1056" i="4"/>
  <c r="I1056" i="4"/>
  <c r="C1056" i="4"/>
  <c r="C1055" i="4"/>
  <c r="J1054" i="4"/>
  <c r="I1054" i="4"/>
  <c r="C1054" i="4"/>
  <c r="J1053" i="4"/>
  <c r="I1053" i="4"/>
  <c r="C1053" i="4"/>
  <c r="C1052" i="4"/>
  <c r="J1051" i="4"/>
  <c r="I1051" i="4"/>
  <c r="C1051" i="4"/>
  <c r="J1050" i="4"/>
  <c r="I1050" i="4"/>
  <c r="C1050" i="4"/>
  <c r="J1049" i="4"/>
  <c r="I1049" i="4"/>
  <c r="C1049" i="4"/>
  <c r="J1048" i="4"/>
  <c r="I1048" i="4"/>
  <c r="C1048" i="4"/>
  <c r="J1047" i="4"/>
  <c r="I1047" i="4"/>
  <c r="C1047" i="4"/>
  <c r="J1046" i="4"/>
  <c r="I1046" i="4"/>
  <c r="C1046" i="4"/>
  <c r="J1045" i="4"/>
  <c r="I1045" i="4"/>
  <c r="C1045" i="4"/>
  <c r="C1044" i="4"/>
  <c r="J1043" i="4"/>
  <c r="I1043" i="4"/>
  <c r="C1043" i="4"/>
  <c r="J1042" i="4"/>
  <c r="I1042" i="4"/>
  <c r="C1042" i="4"/>
  <c r="J1041" i="4"/>
  <c r="I1041" i="4"/>
  <c r="C1041" i="4"/>
  <c r="J1040" i="4"/>
  <c r="I1040" i="4"/>
  <c r="C1040" i="4"/>
  <c r="J1039" i="4"/>
  <c r="I1039" i="4"/>
  <c r="C1039" i="4"/>
  <c r="J1038" i="4"/>
  <c r="I1038" i="4"/>
  <c r="C1038" i="4"/>
  <c r="J1037" i="4"/>
  <c r="I1037" i="4"/>
  <c r="C1037" i="4"/>
  <c r="C1036" i="4"/>
  <c r="J1035" i="4"/>
  <c r="I1035" i="4"/>
  <c r="C1035" i="4"/>
  <c r="J1034" i="4"/>
  <c r="I1034" i="4"/>
  <c r="C1034" i="4"/>
  <c r="J1033" i="4"/>
  <c r="I1033" i="4"/>
  <c r="C1033" i="4"/>
  <c r="J1032" i="4"/>
  <c r="I1032" i="4"/>
  <c r="C1032" i="4"/>
  <c r="J1031" i="4"/>
  <c r="I1031" i="4"/>
  <c r="C1031" i="4"/>
  <c r="J1030" i="4"/>
  <c r="I1030" i="4"/>
  <c r="C1030" i="4"/>
  <c r="J1029" i="4"/>
  <c r="I1029" i="4"/>
  <c r="C1029" i="4"/>
  <c r="C1028" i="4"/>
  <c r="J1027" i="4"/>
  <c r="I1027" i="4"/>
  <c r="C1027" i="4"/>
  <c r="J1026" i="4"/>
  <c r="I1026" i="4"/>
  <c r="C1026" i="4"/>
  <c r="J1025" i="4"/>
  <c r="I1025" i="4"/>
  <c r="C1025" i="4"/>
  <c r="C1024" i="4"/>
  <c r="J1023" i="4"/>
  <c r="I1023" i="4"/>
  <c r="C1023" i="4"/>
  <c r="J1022" i="4"/>
  <c r="I1022" i="4"/>
  <c r="C1022" i="4"/>
  <c r="C1021" i="4"/>
  <c r="J1020" i="4"/>
  <c r="I1020" i="4"/>
  <c r="C1020" i="4"/>
  <c r="J1019" i="4"/>
  <c r="I1019" i="4"/>
  <c r="C1019" i="4"/>
  <c r="J1018" i="4"/>
  <c r="I1018" i="4"/>
  <c r="C1018" i="4"/>
  <c r="J1017" i="4"/>
  <c r="I1017" i="4"/>
  <c r="C1017" i="4"/>
  <c r="J1016" i="4"/>
  <c r="I1016" i="4"/>
  <c r="C1016" i="4"/>
  <c r="J1015" i="4"/>
  <c r="I1015" i="4"/>
  <c r="C1015" i="4"/>
  <c r="J1014" i="4"/>
  <c r="I1014" i="4"/>
  <c r="C1014" i="4"/>
  <c r="C1013" i="4"/>
  <c r="J1012" i="4"/>
  <c r="I1012" i="4"/>
  <c r="C1012" i="4"/>
  <c r="J1011" i="4"/>
  <c r="I1011" i="4"/>
  <c r="C1011" i="4"/>
  <c r="J1010" i="4"/>
  <c r="I1010" i="4"/>
  <c r="C1010" i="4"/>
  <c r="J1009" i="4"/>
  <c r="I1009" i="4"/>
  <c r="C1009" i="4"/>
  <c r="J1008" i="4"/>
  <c r="I1008" i="4"/>
  <c r="C1008" i="4"/>
  <c r="J1007" i="4"/>
  <c r="I1007" i="4"/>
  <c r="C1007" i="4"/>
  <c r="J1006" i="4"/>
  <c r="I1006" i="4"/>
  <c r="C1006" i="4"/>
  <c r="C1005" i="4"/>
  <c r="J1004" i="4"/>
  <c r="I1004" i="4"/>
  <c r="C1004" i="4"/>
  <c r="J1003" i="4"/>
  <c r="I1003" i="4"/>
  <c r="C1003" i="4"/>
  <c r="J1002" i="4"/>
  <c r="I1002" i="4"/>
  <c r="C1002" i="4"/>
  <c r="J1001" i="4"/>
  <c r="I1001" i="4"/>
  <c r="C1001" i="4"/>
  <c r="J1000" i="4"/>
  <c r="I1000" i="4"/>
  <c r="C1000" i="4"/>
  <c r="J999" i="4"/>
  <c r="I999" i="4"/>
  <c r="C999" i="4"/>
  <c r="C998" i="4"/>
  <c r="J997" i="4"/>
  <c r="I997" i="4"/>
  <c r="C997" i="4"/>
  <c r="J996" i="4"/>
  <c r="I996" i="4"/>
  <c r="C996" i="4"/>
  <c r="J995" i="4"/>
  <c r="I995" i="4"/>
  <c r="C995" i="4"/>
  <c r="J994" i="4"/>
  <c r="I994" i="4"/>
  <c r="C994" i="4"/>
  <c r="J993" i="4"/>
  <c r="I993" i="4"/>
  <c r="C993" i="4"/>
  <c r="J992" i="4"/>
  <c r="I992" i="4"/>
  <c r="C992" i="4"/>
  <c r="J991" i="4"/>
  <c r="I991" i="4"/>
  <c r="C991" i="4"/>
  <c r="C990" i="4"/>
  <c r="J989" i="4"/>
  <c r="I989" i="4"/>
  <c r="C989" i="4"/>
  <c r="J988" i="4"/>
  <c r="I988" i="4"/>
  <c r="C988" i="4"/>
  <c r="J987" i="4"/>
  <c r="I987" i="4"/>
  <c r="C987" i="4"/>
  <c r="J986" i="4"/>
  <c r="I986" i="4"/>
  <c r="C986" i="4"/>
  <c r="C985" i="4"/>
  <c r="J984" i="4"/>
  <c r="I984" i="4"/>
  <c r="C984" i="4"/>
  <c r="J983" i="4"/>
  <c r="I983" i="4"/>
  <c r="C983" i="4"/>
  <c r="J982" i="4"/>
  <c r="I982" i="4"/>
  <c r="C982" i="4"/>
  <c r="J981" i="4"/>
  <c r="I981" i="4"/>
  <c r="C981" i="4"/>
  <c r="J980" i="4"/>
  <c r="I980" i="4"/>
  <c r="C980" i="4"/>
  <c r="J979" i="4"/>
  <c r="I979" i="4"/>
  <c r="C979" i="4"/>
  <c r="J978" i="4"/>
  <c r="I978" i="4"/>
  <c r="C978" i="4"/>
  <c r="C977" i="4"/>
  <c r="J976" i="4"/>
  <c r="I976" i="4"/>
  <c r="C976" i="4"/>
  <c r="J975" i="4"/>
  <c r="I975" i="4"/>
  <c r="C975" i="4"/>
  <c r="J974" i="4"/>
  <c r="I974" i="4"/>
  <c r="C974" i="4"/>
  <c r="J973" i="4"/>
  <c r="I973" i="4"/>
  <c r="C973" i="4"/>
  <c r="J972" i="4"/>
  <c r="I972" i="4"/>
  <c r="C972" i="4"/>
  <c r="J971" i="4"/>
  <c r="I971" i="4"/>
  <c r="C971" i="4"/>
  <c r="J970" i="4"/>
  <c r="I970" i="4"/>
  <c r="C970" i="4"/>
  <c r="C969" i="4"/>
  <c r="J968" i="4"/>
  <c r="I968" i="4"/>
  <c r="C968" i="4"/>
  <c r="J967" i="4"/>
  <c r="I967" i="4"/>
  <c r="C967" i="4"/>
  <c r="J966" i="4"/>
  <c r="I966" i="4"/>
  <c r="C966" i="4"/>
  <c r="J965" i="4"/>
  <c r="I965" i="4"/>
  <c r="C965" i="4"/>
  <c r="J964" i="4"/>
  <c r="I964" i="4"/>
  <c r="C964" i="4"/>
  <c r="J963" i="4"/>
  <c r="I963" i="4"/>
  <c r="C963" i="4"/>
  <c r="J962" i="4"/>
  <c r="I962" i="4"/>
  <c r="C962" i="4"/>
  <c r="C961" i="4"/>
  <c r="J960" i="4"/>
  <c r="I960" i="4"/>
  <c r="C960" i="4"/>
  <c r="J959" i="4"/>
  <c r="I959" i="4"/>
  <c r="C959" i="4"/>
  <c r="J958" i="4"/>
  <c r="I958" i="4"/>
  <c r="C958" i="4"/>
  <c r="J957" i="4"/>
  <c r="I957" i="4"/>
  <c r="C957" i="4"/>
  <c r="J956" i="4"/>
  <c r="I956" i="4"/>
  <c r="C956" i="4"/>
  <c r="J955" i="4"/>
  <c r="I955" i="4"/>
  <c r="C955" i="4"/>
  <c r="J954" i="4"/>
  <c r="I954" i="4"/>
  <c r="C954" i="4"/>
  <c r="C953" i="4"/>
  <c r="J952" i="4"/>
  <c r="I952" i="4"/>
  <c r="C952" i="4"/>
  <c r="J951" i="4"/>
  <c r="I951" i="4"/>
  <c r="C951" i="4"/>
  <c r="J950" i="4"/>
  <c r="I950" i="4"/>
  <c r="C950" i="4"/>
  <c r="J949" i="4"/>
  <c r="I949" i="4"/>
  <c r="C949" i="4"/>
  <c r="J948" i="4"/>
  <c r="I948" i="4"/>
  <c r="C948" i="4"/>
  <c r="J947" i="4"/>
  <c r="I947" i="4"/>
  <c r="C947" i="4"/>
  <c r="J946" i="4"/>
  <c r="I946" i="4"/>
  <c r="C946" i="4"/>
  <c r="C945" i="4"/>
  <c r="J944" i="4"/>
  <c r="I944" i="4"/>
  <c r="C944" i="4"/>
  <c r="J943" i="4"/>
  <c r="I943" i="4"/>
  <c r="C943" i="4"/>
  <c r="J942" i="4"/>
  <c r="I942" i="4"/>
  <c r="C942" i="4"/>
  <c r="J941" i="4"/>
  <c r="I941" i="4"/>
  <c r="C941" i="4"/>
  <c r="J940" i="4"/>
  <c r="I940" i="4"/>
  <c r="C940" i="4"/>
  <c r="J939" i="4"/>
  <c r="I939" i="4"/>
  <c r="C939" i="4"/>
  <c r="J938" i="4"/>
  <c r="I938" i="4"/>
  <c r="C938" i="4"/>
  <c r="C937" i="4"/>
  <c r="J936" i="4"/>
  <c r="I936" i="4"/>
  <c r="C936" i="4"/>
  <c r="J935" i="4"/>
  <c r="I935" i="4"/>
  <c r="C935" i="4"/>
  <c r="J934" i="4"/>
  <c r="I934" i="4"/>
  <c r="C934" i="4"/>
  <c r="J933" i="4"/>
  <c r="I933" i="4"/>
  <c r="C933" i="4"/>
  <c r="J932" i="4"/>
  <c r="I932" i="4"/>
  <c r="C932" i="4"/>
  <c r="J931" i="4"/>
  <c r="I931" i="4"/>
  <c r="C931" i="4"/>
  <c r="J930" i="4"/>
  <c r="I930" i="4"/>
  <c r="C930" i="4"/>
  <c r="C929" i="4"/>
  <c r="J928" i="4"/>
  <c r="I928" i="4"/>
  <c r="C928" i="4"/>
  <c r="J927" i="4"/>
  <c r="I927" i="4"/>
  <c r="C927" i="4"/>
  <c r="J926" i="4"/>
  <c r="I926" i="4"/>
  <c r="C926" i="4"/>
  <c r="J925" i="4"/>
  <c r="I925" i="4"/>
  <c r="C925" i="4"/>
  <c r="J924" i="4"/>
  <c r="I924" i="4"/>
  <c r="C924" i="4"/>
  <c r="J923" i="4"/>
  <c r="I923" i="4"/>
  <c r="C923" i="4"/>
  <c r="J922" i="4"/>
  <c r="I922" i="4"/>
  <c r="C922" i="4"/>
  <c r="C921" i="4"/>
  <c r="J920" i="4"/>
  <c r="I920" i="4"/>
  <c r="C920" i="4"/>
  <c r="J919" i="4"/>
  <c r="I919" i="4"/>
  <c r="C919" i="4"/>
  <c r="J918" i="4"/>
  <c r="I918" i="4"/>
  <c r="C918" i="4"/>
  <c r="J917" i="4"/>
  <c r="I917" i="4"/>
  <c r="C917" i="4"/>
  <c r="J916" i="4"/>
  <c r="I916" i="4"/>
  <c r="C916" i="4"/>
  <c r="J915" i="4"/>
  <c r="I915" i="4"/>
  <c r="C915" i="4"/>
  <c r="J914" i="4"/>
  <c r="I914" i="4"/>
  <c r="C914" i="4"/>
  <c r="C913" i="4"/>
  <c r="J912" i="4"/>
  <c r="I912" i="4"/>
  <c r="C912" i="4"/>
  <c r="J911" i="4"/>
  <c r="I911" i="4"/>
  <c r="C911" i="4"/>
  <c r="J910" i="4"/>
  <c r="I910" i="4"/>
  <c r="C910" i="4"/>
  <c r="J909" i="4"/>
  <c r="I909" i="4"/>
  <c r="C909" i="4"/>
  <c r="J908" i="4"/>
  <c r="I908" i="4"/>
  <c r="C908" i="4"/>
  <c r="J907" i="4"/>
  <c r="I907" i="4"/>
  <c r="C907" i="4"/>
  <c r="J906" i="4"/>
  <c r="I906" i="4"/>
  <c r="C906" i="4"/>
  <c r="C905" i="4"/>
  <c r="J904" i="4"/>
  <c r="I904" i="4"/>
  <c r="C904" i="4"/>
  <c r="J903" i="4"/>
  <c r="I903" i="4"/>
  <c r="C903" i="4"/>
  <c r="J902" i="4"/>
  <c r="I902" i="4"/>
  <c r="C902" i="4"/>
  <c r="J901" i="4"/>
  <c r="I901" i="4"/>
  <c r="C901" i="4"/>
  <c r="J900" i="4"/>
  <c r="I900" i="4"/>
  <c r="C900" i="4"/>
  <c r="J899" i="4"/>
  <c r="I899" i="4"/>
  <c r="C899" i="4"/>
  <c r="J898" i="4"/>
  <c r="I898" i="4"/>
  <c r="C898" i="4"/>
  <c r="C897" i="4"/>
  <c r="J896" i="4"/>
  <c r="I896" i="4"/>
  <c r="C896" i="4"/>
  <c r="J895" i="4"/>
  <c r="I895" i="4"/>
  <c r="C895" i="4"/>
  <c r="J894" i="4"/>
  <c r="I894" i="4"/>
  <c r="C894" i="4"/>
  <c r="J893" i="4"/>
  <c r="I893" i="4"/>
  <c r="C893" i="4"/>
  <c r="J892" i="4"/>
  <c r="I892" i="4"/>
  <c r="C892" i="4"/>
  <c r="J891" i="4"/>
  <c r="I891" i="4"/>
  <c r="C891" i="4"/>
  <c r="J890" i="4"/>
  <c r="I890" i="4"/>
  <c r="C890" i="4"/>
  <c r="J889" i="4"/>
  <c r="I889" i="4"/>
  <c r="C889" i="4"/>
  <c r="J888" i="4"/>
  <c r="I888" i="4"/>
  <c r="C888" i="4"/>
  <c r="J887" i="4"/>
  <c r="I887" i="4"/>
  <c r="C887" i="4"/>
  <c r="J886" i="4"/>
  <c r="I886" i="4"/>
  <c r="C886" i="4"/>
  <c r="C885" i="4"/>
  <c r="J884" i="4"/>
  <c r="I884" i="4"/>
  <c r="C884" i="4"/>
  <c r="J883" i="4"/>
  <c r="I883" i="4"/>
  <c r="C883" i="4"/>
  <c r="J882" i="4"/>
  <c r="I882" i="4"/>
  <c r="C882" i="4"/>
  <c r="J881" i="4"/>
  <c r="I881" i="4"/>
  <c r="C881" i="4"/>
  <c r="J880" i="4"/>
  <c r="I880" i="4"/>
  <c r="C880" i="4"/>
  <c r="J879" i="4"/>
  <c r="I879" i="4"/>
  <c r="C879" i="4"/>
  <c r="J878" i="4"/>
  <c r="I878" i="4"/>
  <c r="C878" i="4"/>
  <c r="C877" i="4"/>
  <c r="J876" i="4"/>
  <c r="I876" i="4"/>
  <c r="C876" i="4"/>
  <c r="J875" i="4"/>
  <c r="I875" i="4"/>
  <c r="C875" i="4"/>
  <c r="J874" i="4"/>
  <c r="I874" i="4"/>
  <c r="C874" i="4"/>
  <c r="C873" i="4"/>
  <c r="J872" i="4"/>
  <c r="I872" i="4"/>
  <c r="C872" i="4"/>
  <c r="J871" i="4"/>
  <c r="I871" i="4"/>
  <c r="C871" i="4"/>
  <c r="J870" i="4"/>
  <c r="I870" i="4"/>
  <c r="C870" i="4"/>
  <c r="J869" i="4"/>
  <c r="I869" i="4"/>
  <c r="C869" i="4"/>
  <c r="C868" i="4"/>
  <c r="J867" i="4"/>
  <c r="I867" i="4"/>
  <c r="C867" i="4"/>
  <c r="C866" i="4"/>
  <c r="J865" i="4"/>
  <c r="I865" i="4"/>
  <c r="C865" i="4"/>
  <c r="J864" i="4"/>
  <c r="I864" i="4"/>
  <c r="C864" i="4"/>
  <c r="J863" i="4"/>
  <c r="I863" i="4"/>
  <c r="C863" i="4"/>
  <c r="J862" i="4"/>
  <c r="I862" i="4"/>
  <c r="C862" i="4"/>
  <c r="J861" i="4"/>
  <c r="I861" i="4"/>
  <c r="C861" i="4"/>
  <c r="J860" i="4"/>
  <c r="I860" i="4"/>
  <c r="C860" i="4"/>
  <c r="J859" i="4"/>
  <c r="I859" i="4"/>
  <c r="C859" i="4"/>
  <c r="C858" i="4"/>
  <c r="J857" i="4"/>
  <c r="I857" i="4"/>
  <c r="C857" i="4"/>
  <c r="C856" i="4"/>
  <c r="J855" i="4"/>
  <c r="I855" i="4"/>
  <c r="C855" i="4"/>
  <c r="J854" i="4"/>
  <c r="I854" i="4"/>
  <c r="C854" i="4"/>
  <c r="J853" i="4"/>
  <c r="I853" i="4"/>
  <c r="C853" i="4"/>
  <c r="J852" i="4"/>
  <c r="I852" i="4"/>
  <c r="C852" i="4"/>
  <c r="J851" i="4"/>
  <c r="I851" i="4"/>
  <c r="C851" i="4"/>
  <c r="J850" i="4"/>
  <c r="I850" i="4"/>
  <c r="C850" i="4"/>
  <c r="C849" i="4"/>
  <c r="J848" i="4"/>
  <c r="I848" i="4"/>
  <c r="C848" i="4"/>
  <c r="J847" i="4"/>
  <c r="I847" i="4"/>
  <c r="C847" i="4"/>
  <c r="J846" i="4"/>
  <c r="I846" i="4"/>
  <c r="C846" i="4"/>
  <c r="J845" i="4"/>
  <c r="I845" i="4"/>
  <c r="C845" i="4"/>
  <c r="J844" i="4"/>
  <c r="I844" i="4"/>
  <c r="C844" i="4"/>
  <c r="J843" i="4"/>
  <c r="I843" i="4"/>
  <c r="C843" i="4"/>
  <c r="J842" i="4"/>
  <c r="I842" i="4"/>
  <c r="C842" i="4"/>
  <c r="C841" i="4"/>
  <c r="J840" i="4"/>
  <c r="I840" i="4"/>
  <c r="C840" i="4"/>
  <c r="J839" i="4"/>
  <c r="I839" i="4"/>
  <c r="C839" i="4"/>
  <c r="J838" i="4"/>
  <c r="I838" i="4"/>
  <c r="C838" i="4"/>
  <c r="J837" i="4"/>
  <c r="I837" i="4"/>
  <c r="C837" i="4"/>
  <c r="C836" i="4"/>
  <c r="J835" i="4"/>
  <c r="I835" i="4"/>
  <c r="C835" i="4"/>
  <c r="J834" i="4"/>
  <c r="I834" i="4"/>
  <c r="C834" i="4"/>
  <c r="J833" i="4"/>
  <c r="I833" i="4"/>
  <c r="C833" i="4"/>
  <c r="J832" i="4"/>
  <c r="I832" i="4"/>
  <c r="C832" i="4"/>
  <c r="J831" i="4"/>
  <c r="I831" i="4"/>
  <c r="C831" i="4"/>
  <c r="J830" i="4"/>
  <c r="I830" i="4"/>
  <c r="C830" i="4"/>
  <c r="J829" i="4"/>
  <c r="I829" i="4"/>
  <c r="C829" i="4"/>
  <c r="C828" i="4"/>
  <c r="J827" i="4"/>
  <c r="I827" i="4"/>
  <c r="C827" i="4"/>
  <c r="J826" i="4"/>
  <c r="I826" i="4"/>
  <c r="C826" i="4"/>
  <c r="J825" i="4"/>
  <c r="I825" i="4"/>
  <c r="C825" i="4"/>
  <c r="J824" i="4"/>
  <c r="I824" i="4"/>
  <c r="C824" i="4"/>
  <c r="J823" i="4"/>
  <c r="I823" i="4"/>
  <c r="C823" i="4"/>
  <c r="J822" i="4"/>
  <c r="I822" i="4"/>
  <c r="C822" i="4"/>
  <c r="J821" i="4"/>
  <c r="I821" i="4"/>
  <c r="C821" i="4"/>
  <c r="C820" i="4"/>
  <c r="J819" i="4"/>
  <c r="I819" i="4"/>
  <c r="C819" i="4"/>
  <c r="J818" i="4"/>
  <c r="I818" i="4"/>
  <c r="C818" i="4"/>
  <c r="J817" i="4"/>
  <c r="I817" i="4"/>
  <c r="C817" i="4"/>
  <c r="J816" i="4"/>
  <c r="I816" i="4"/>
  <c r="C816" i="4"/>
  <c r="J815" i="4"/>
  <c r="I815" i="4"/>
  <c r="C815" i="4"/>
  <c r="J814" i="4"/>
  <c r="I814" i="4"/>
  <c r="C814" i="4"/>
  <c r="J813" i="4"/>
  <c r="I813" i="4"/>
  <c r="C813" i="4"/>
  <c r="C812" i="4"/>
  <c r="J811" i="4"/>
  <c r="I811" i="4"/>
  <c r="C811" i="4"/>
  <c r="J810" i="4"/>
  <c r="I810" i="4"/>
  <c r="C810" i="4"/>
  <c r="J809" i="4"/>
  <c r="I809" i="4"/>
  <c r="C809" i="4"/>
  <c r="J808" i="4"/>
  <c r="I808" i="4"/>
  <c r="C808" i="4"/>
  <c r="C807" i="4"/>
  <c r="J806" i="4"/>
  <c r="I806" i="4"/>
  <c r="C806" i="4"/>
  <c r="J805" i="4"/>
  <c r="I805" i="4"/>
  <c r="C805" i="4"/>
  <c r="C804" i="4"/>
  <c r="J803" i="4"/>
  <c r="I803" i="4"/>
  <c r="C803" i="4"/>
  <c r="C802" i="4"/>
  <c r="J801" i="4"/>
  <c r="I801" i="4"/>
  <c r="C801" i="4"/>
  <c r="J800" i="4"/>
  <c r="I800" i="4"/>
  <c r="C800" i="4"/>
  <c r="J799" i="4"/>
  <c r="I799" i="4"/>
  <c r="C799" i="4"/>
  <c r="J798" i="4"/>
  <c r="I798" i="4"/>
  <c r="C798" i="4"/>
  <c r="J797" i="4"/>
  <c r="I797" i="4"/>
  <c r="C797" i="4"/>
  <c r="J796" i="4"/>
  <c r="I796" i="4"/>
  <c r="C796" i="4"/>
  <c r="J795" i="4"/>
  <c r="I795" i="4"/>
  <c r="C795" i="4"/>
  <c r="C794" i="4"/>
  <c r="J793" i="4"/>
  <c r="I793" i="4"/>
  <c r="C793" i="4"/>
  <c r="J792" i="4"/>
  <c r="I792" i="4"/>
  <c r="C792" i="4"/>
  <c r="J791" i="4"/>
  <c r="I791" i="4"/>
  <c r="C791" i="4"/>
  <c r="J790" i="4"/>
  <c r="I790" i="4"/>
  <c r="C790" i="4"/>
  <c r="J789" i="4"/>
  <c r="I789" i="4"/>
  <c r="C789" i="4"/>
  <c r="J788" i="4"/>
  <c r="I788" i="4"/>
  <c r="C788" i="4"/>
  <c r="C787" i="4"/>
  <c r="C786" i="4"/>
  <c r="J785" i="4"/>
  <c r="I785" i="4"/>
  <c r="C785" i="4"/>
  <c r="J784" i="4"/>
  <c r="I784" i="4"/>
  <c r="C784" i="4"/>
  <c r="J783" i="4"/>
  <c r="I783" i="4"/>
  <c r="C783" i="4"/>
  <c r="J782" i="4"/>
  <c r="I782" i="4"/>
  <c r="C782" i="4"/>
  <c r="J781" i="4"/>
  <c r="I781" i="4"/>
  <c r="C781" i="4"/>
  <c r="J780" i="4"/>
  <c r="I780" i="4"/>
  <c r="C780" i="4"/>
  <c r="J779" i="4"/>
  <c r="I779" i="4"/>
  <c r="C779" i="4"/>
  <c r="C778" i="4"/>
  <c r="J777" i="4"/>
  <c r="I777" i="4"/>
  <c r="C777" i="4"/>
  <c r="J776" i="4"/>
  <c r="I776" i="4"/>
  <c r="C776" i="4"/>
  <c r="C775" i="4"/>
  <c r="J774" i="4"/>
  <c r="I774" i="4"/>
  <c r="C774" i="4"/>
  <c r="J773" i="4"/>
  <c r="I773" i="4"/>
  <c r="C773" i="4"/>
  <c r="J772" i="4"/>
  <c r="I772" i="4"/>
  <c r="C772" i="4"/>
  <c r="J771" i="4"/>
  <c r="I771" i="4"/>
  <c r="C771" i="4"/>
  <c r="J770" i="4"/>
  <c r="I770" i="4"/>
  <c r="C770" i="4"/>
  <c r="J769" i="4"/>
  <c r="I769" i="4"/>
  <c r="C769" i="4"/>
  <c r="J768" i="4"/>
  <c r="I768" i="4"/>
  <c r="C768" i="4"/>
  <c r="C767" i="4"/>
  <c r="J766" i="4"/>
  <c r="I766" i="4"/>
  <c r="C766" i="4"/>
  <c r="C765" i="4"/>
  <c r="C764" i="4"/>
  <c r="J763" i="4"/>
  <c r="I763" i="4"/>
  <c r="C763" i="4"/>
  <c r="J762" i="4"/>
  <c r="I762" i="4"/>
  <c r="C762" i="4"/>
  <c r="J761" i="4"/>
  <c r="I761" i="4"/>
  <c r="C761" i="4"/>
  <c r="J760" i="4"/>
  <c r="I760" i="4"/>
  <c r="C760" i="4"/>
  <c r="C759" i="4"/>
  <c r="J758" i="4"/>
  <c r="I758" i="4"/>
  <c r="C758" i="4"/>
  <c r="J757" i="4"/>
  <c r="I757" i="4"/>
  <c r="C757" i="4"/>
  <c r="J756" i="4"/>
  <c r="I756" i="4"/>
  <c r="C756" i="4"/>
  <c r="J755" i="4"/>
  <c r="I755" i="4"/>
  <c r="C755" i="4"/>
  <c r="J754" i="4"/>
  <c r="I754" i="4"/>
  <c r="C754" i="4"/>
  <c r="J753" i="4"/>
  <c r="I753" i="4"/>
  <c r="C753" i="4"/>
  <c r="J752" i="4"/>
  <c r="I752" i="4"/>
  <c r="C752" i="4"/>
  <c r="C751" i="4"/>
  <c r="J750" i="4"/>
  <c r="I750" i="4"/>
  <c r="C750" i="4"/>
  <c r="J749" i="4"/>
  <c r="I749" i="4"/>
  <c r="C749" i="4"/>
  <c r="C748" i="4"/>
  <c r="J747" i="4"/>
  <c r="I747" i="4"/>
  <c r="C747" i="4"/>
  <c r="J746" i="4"/>
  <c r="I746" i="4"/>
  <c r="C746" i="4"/>
  <c r="J745" i="4"/>
  <c r="I745" i="4"/>
  <c r="C745" i="4"/>
  <c r="J744" i="4"/>
  <c r="I744" i="4"/>
  <c r="C744" i="4"/>
  <c r="J743" i="4"/>
  <c r="I743" i="4"/>
  <c r="C743" i="4"/>
  <c r="J742" i="4"/>
  <c r="I742" i="4"/>
  <c r="C742" i="4"/>
  <c r="J741" i="4"/>
  <c r="I741" i="4"/>
  <c r="C741" i="4"/>
  <c r="C740" i="4"/>
  <c r="J739" i="4"/>
  <c r="I739" i="4"/>
  <c r="C739" i="4"/>
  <c r="J738" i="4"/>
  <c r="I738" i="4"/>
  <c r="C738" i="4"/>
  <c r="J737" i="4"/>
  <c r="I737" i="4"/>
  <c r="C737" i="4"/>
  <c r="J736" i="4"/>
  <c r="I736" i="4"/>
  <c r="C736" i="4"/>
  <c r="J735" i="4"/>
  <c r="I735" i="4"/>
  <c r="C735" i="4"/>
  <c r="J734" i="4"/>
  <c r="I734" i="4"/>
  <c r="C734" i="4"/>
  <c r="J733" i="4"/>
  <c r="I733" i="4"/>
  <c r="C733" i="4"/>
  <c r="C732" i="4"/>
  <c r="J731" i="4"/>
  <c r="I731" i="4"/>
  <c r="C731" i="4"/>
  <c r="J730" i="4"/>
  <c r="I730" i="4"/>
  <c r="C730" i="4"/>
  <c r="J729" i="4"/>
  <c r="I729" i="4"/>
  <c r="C729" i="4"/>
  <c r="J728" i="4"/>
  <c r="I728" i="4"/>
  <c r="C728" i="4"/>
  <c r="J727" i="4"/>
  <c r="I727" i="4"/>
  <c r="C727" i="4"/>
  <c r="J726" i="4"/>
  <c r="I726" i="4"/>
  <c r="C726" i="4"/>
  <c r="J725" i="4"/>
  <c r="I725" i="4"/>
  <c r="C725" i="4"/>
  <c r="C724" i="4"/>
  <c r="C723" i="4"/>
  <c r="C722" i="4"/>
  <c r="C721" i="4"/>
  <c r="C720" i="4"/>
  <c r="J719" i="4"/>
  <c r="I719" i="4"/>
  <c r="C719" i="4"/>
  <c r="J718" i="4"/>
  <c r="I718" i="4"/>
  <c r="C718" i="4"/>
  <c r="J717" i="4"/>
  <c r="I717" i="4"/>
  <c r="C717" i="4"/>
  <c r="J716" i="4"/>
  <c r="I716" i="4"/>
  <c r="C716" i="4"/>
  <c r="J715" i="4"/>
  <c r="I715" i="4"/>
  <c r="C715" i="4"/>
  <c r="J714" i="4"/>
  <c r="I714" i="4"/>
  <c r="C714" i="4"/>
  <c r="J713" i="4"/>
  <c r="I713" i="4"/>
  <c r="C713" i="4"/>
  <c r="C712" i="4"/>
  <c r="J711" i="4"/>
  <c r="I711" i="4"/>
  <c r="C711" i="4"/>
  <c r="J710" i="4"/>
  <c r="I710" i="4"/>
  <c r="C710" i="4"/>
  <c r="J709" i="4"/>
  <c r="I709" i="4"/>
  <c r="C709" i="4"/>
  <c r="J708" i="4"/>
  <c r="I708" i="4"/>
  <c r="C708" i="4"/>
  <c r="J707" i="4"/>
  <c r="I707" i="4"/>
  <c r="C707" i="4"/>
  <c r="J706" i="4"/>
  <c r="I706" i="4"/>
  <c r="C706" i="4"/>
  <c r="J705" i="4"/>
  <c r="I705" i="4"/>
  <c r="C705" i="4"/>
  <c r="C704" i="4"/>
  <c r="J703" i="4"/>
  <c r="I703" i="4"/>
  <c r="C703" i="4"/>
  <c r="J702" i="4"/>
  <c r="I702" i="4"/>
  <c r="C702" i="4"/>
  <c r="J701" i="4"/>
  <c r="I701" i="4"/>
  <c r="C701" i="4"/>
  <c r="J700" i="4"/>
  <c r="I700" i="4"/>
  <c r="C700" i="4"/>
  <c r="J699" i="4"/>
  <c r="I699" i="4"/>
  <c r="C699" i="4"/>
  <c r="J698" i="4"/>
  <c r="I698" i="4"/>
  <c r="C698" i="4"/>
  <c r="J697" i="4"/>
  <c r="I697" i="4"/>
  <c r="C697" i="4"/>
  <c r="C696" i="4"/>
  <c r="C695" i="4"/>
  <c r="C694" i="4"/>
  <c r="J693" i="4"/>
  <c r="I693" i="4"/>
  <c r="C693" i="4"/>
  <c r="J692" i="4"/>
  <c r="I692" i="4"/>
  <c r="C692" i="4"/>
  <c r="C691" i="4"/>
  <c r="J690" i="4"/>
  <c r="I690" i="4"/>
  <c r="C690" i="4"/>
  <c r="J689" i="4"/>
  <c r="I689" i="4"/>
  <c r="C689" i="4"/>
  <c r="J688" i="4"/>
  <c r="I688" i="4"/>
  <c r="C688" i="4"/>
  <c r="J687" i="4"/>
  <c r="I687" i="4"/>
  <c r="C687" i="4"/>
  <c r="J686" i="4"/>
  <c r="I686" i="4"/>
  <c r="C686" i="4"/>
  <c r="J685" i="4"/>
  <c r="I685" i="4"/>
  <c r="C685" i="4"/>
  <c r="J684" i="4"/>
  <c r="I684" i="4"/>
  <c r="C684" i="4"/>
  <c r="C683" i="4"/>
  <c r="J682" i="4"/>
  <c r="I682" i="4"/>
  <c r="C682" i="4"/>
  <c r="J681" i="4"/>
  <c r="I681" i="4"/>
  <c r="C681" i="4"/>
  <c r="J680" i="4"/>
  <c r="I680" i="4"/>
  <c r="C680" i="4"/>
  <c r="J679" i="4"/>
  <c r="I679" i="4"/>
  <c r="C679" i="4"/>
  <c r="J678" i="4"/>
  <c r="I678" i="4"/>
  <c r="C678" i="4"/>
  <c r="J677" i="4"/>
  <c r="I677" i="4"/>
  <c r="C677" i="4"/>
  <c r="J676" i="4"/>
  <c r="I676" i="4"/>
  <c r="C676" i="4"/>
  <c r="C675" i="4"/>
  <c r="J674" i="4"/>
  <c r="I674" i="4"/>
  <c r="C674" i="4"/>
  <c r="J673" i="4"/>
  <c r="I673" i="4"/>
  <c r="C673" i="4"/>
  <c r="J672" i="4"/>
  <c r="I672" i="4"/>
  <c r="C672" i="4"/>
  <c r="J671" i="4"/>
  <c r="I671" i="4"/>
  <c r="C671" i="4"/>
  <c r="J670" i="4"/>
  <c r="I670" i="4"/>
  <c r="C670" i="4"/>
  <c r="J669" i="4"/>
  <c r="I669" i="4"/>
  <c r="C669" i="4"/>
  <c r="J668" i="4"/>
  <c r="I668" i="4"/>
  <c r="C668" i="4"/>
  <c r="C667" i="4"/>
  <c r="J666" i="4"/>
  <c r="I666" i="4"/>
  <c r="C666" i="4"/>
  <c r="J665" i="4"/>
  <c r="I665" i="4"/>
  <c r="C665" i="4"/>
  <c r="J664" i="4"/>
  <c r="I664" i="4"/>
  <c r="C664" i="4"/>
  <c r="J663" i="4"/>
  <c r="I663" i="4"/>
  <c r="C663" i="4"/>
  <c r="J662" i="4"/>
  <c r="I662" i="4"/>
  <c r="C662" i="4"/>
  <c r="J661" i="4"/>
  <c r="I661" i="4"/>
  <c r="C661" i="4"/>
  <c r="J660" i="4"/>
  <c r="I660" i="4"/>
  <c r="C660" i="4"/>
  <c r="C659" i="4"/>
  <c r="J658" i="4"/>
  <c r="I658" i="4"/>
  <c r="C658" i="4"/>
  <c r="C657" i="4"/>
  <c r="C656" i="4"/>
  <c r="C655" i="4"/>
  <c r="C654" i="4"/>
  <c r="C653" i="4"/>
  <c r="J652" i="4"/>
  <c r="I652" i="4"/>
  <c r="C652" i="4"/>
  <c r="J651" i="4"/>
  <c r="I651" i="4"/>
  <c r="C651" i="4"/>
  <c r="J650" i="4"/>
  <c r="I650" i="4"/>
  <c r="C650" i="4"/>
  <c r="J649" i="4"/>
  <c r="I649" i="4"/>
  <c r="C649" i="4"/>
  <c r="J648" i="4"/>
  <c r="I648" i="4"/>
  <c r="C648" i="4"/>
  <c r="J647" i="4"/>
  <c r="I647" i="4"/>
  <c r="C647" i="4"/>
  <c r="J646" i="4"/>
  <c r="I646" i="4"/>
  <c r="C646" i="4"/>
  <c r="C645" i="4"/>
  <c r="J644" i="4"/>
  <c r="I644" i="4"/>
  <c r="C644" i="4"/>
  <c r="J643" i="4"/>
  <c r="I643" i="4"/>
  <c r="C643" i="4"/>
  <c r="C642" i="4"/>
  <c r="J641" i="4"/>
  <c r="I641" i="4"/>
  <c r="C641" i="4"/>
  <c r="J640" i="4"/>
  <c r="I640" i="4"/>
  <c r="C640" i="4"/>
  <c r="J639" i="4"/>
  <c r="I639" i="4"/>
  <c r="C639" i="4"/>
  <c r="J638" i="4"/>
  <c r="I638" i="4"/>
  <c r="C638" i="4"/>
  <c r="J637" i="4"/>
  <c r="I637" i="4"/>
  <c r="C637" i="4"/>
  <c r="J636" i="4"/>
  <c r="I636" i="4"/>
  <c r="C636" i="4"/>
  <c r="J635" i="4"/>
  <c r="I635" i="4"/>
  <c r="C635" i="4"/>
  <c r="C634" i="4"/>
  <c r="J633" i="4"/>
  <c r="I633" i="4"/>
  <c r="C633" i="4"/>
  <c r="J632" i="4"/>
  <c r="I632" i="4"/>
  <c r="C632" i="4"/>
  <c r="J631" i="4"/>
  <c r="I631" i="4"/>
  <c r="C631" i="4"/>
  <c r="J630" i="4"/>
  <c r="I630" i="4"/>
  <c r="C630" i="4"/>
  <c r="J629" i="4"/>
  <c r="I629" i="4"/>
  <c r="C629" i="4"/>
  <c r="J628" i="4"/>
  <c r="I628" i="4"/>
  <c r="C628" i="4"/>
  <c r="J627" i="4"/>
  <c r="I627" i="4"/>
  <c r="C627" i="4"/>
  <c r="C626" i="4"/>
  <c r="J625" i="4"/>
  <c r="I625" i="4"/>
  <c r="C625" i="4"/>
  <c r="J624" i="4"/>
  <c r="I624" i="4"/>
  <c r="C624" i="4"/>
  <c r="J623" i="4"/>
  <c r="I623" i="4"/>
  <c r="C623" i="4"/>
  <c r="J622" i="4"/>
  <c r="I622" i="4"/>
  <c r="C622" i="4"/>
  <c r="J621" i="4"/>
  <c r="I621" i="4"/>
  <c r="C621" i="4"/>
  <c r="J620" i="4"/>
  <c r="I620" i="4"/>
  <c r="C620" i="4"/>
  <c r="J619" i="4"/>
  <c r="I619" i="4"/>
  <c r="C619" i="4"/>
  <c r="C618" i="4"/>
  <c r="J617" i="4"/>
  <c r="I617" i="4"/>
  <c r="C617" i="4"/>
  <c r="C616" i="4"/>
  <c r="J615" i="4"/>
  <c r="I615" i="4"/>
  <c r="C615" i="4"/>
  <c r="J614" i="4"/>
  <c r="I614" i="4"/>
  <c r="C614" i="4"/>
  <c r="J613" i="4"/>
  <c r="I613" i="4"/>
  <c r="C613" i="4"/>
  <c r="J612" i="4"/>
  <c r="I612" i="4"/>
  <c r="C612" i="4"/>
  <c r="J611" i="4"/>
  <c r="I611" i="4"/>
  <c r="C611" i="4"/>
  <c r="J610" i="4"/>
  <c r="I610" i="4"/>
  <c r="C610" i="4"/>
  <c r="J609" i="4"/>
  <c r="I609" i="4"/>
  <c r="C609" i="4"/>
  <c r="J608" i="4"/>
  <c r="I608" i="4"/>
  <c r="C608" i="4"/>
  <c r="J607" i="4"/>
  <c r="I607" i="4"/>
  <c r="C607" i="4"/>
  <c r="J606" i="4"/>
  <c r="I606" i="4"/>
  <c r="C606" i="4"/>
  <c r="J605" i="4"/>
  <c r="I605" i="4"/>
  <c r="C605" i="4"/>
  <c r="J604" i="4"/>
  <c r="I604" i="4"/>
  <c r="C604" i="4"/>
  <c r="J603" i="4"/>
  <c r="I603" i="4"/>
  <c r="C603" i="4"/>
  <c r="J602" i="4"/>
  <c r="I602" i="4"/>
  <c r="C602" i="4"/>
  <c r="C601" i="4"/>
  <c r="C600" i="4"/>
  <c r="J599" i="4"/>
  <c r="I599" i="4"/>
  <c r="C599" i="4"/>
  <c r="J598" i="4"/>
  <c r="I598" i="4"/>
  <c r="C598" i="4"/>
  <c r="J597" i="4"/>
  <c r="I597" i="4"/>
  <c r="C597" i="4"/>
  <c r="C596" i="4"/>
  <c r="J595" i="4"/>
  <c r="I595" i="4"/>
  <c r="C595" i="4"/>
  <c r="J594" i="4"/>
  <c r="I594" i="4"/>
  <c r="C594" i="4"/>
  <c r="J593" i="4"/>
  <c r="I593" i="4"/>
  <c r="C593" i="4"/>
  <c r="J592" i="4"/>
  <c r="I592" i="4"/>
  <c r="C592" i="4"/>
  <c r="J591" i="4"/>
  <c r="I591" i="4"/>
  <c r="C591" i="4"/>
  <c r="C590" i="4"/>
  <c r="J589" i="4"/>
  <c r="I589" i="4"/>
  <c r="C589" i="4"/>
  <c r="J588" i="4"/>
  <c r="I588" i="4"/>
  <c r="C588" i="4"/>
  <c r="J587" i="4"/>
  <c r="I587" i="4"/>
  <c r="C587" i="4"/>
  <c r="J586" i="4"/>
  <c r="I586" i="4"/>
  <c r="C586" i="4"/>
  <c r="J585" i="4"/>
  <c r="I585" i="4"/>
  <c r="C585" i="4"/>
  <c r="J584" i="4"/>
  <c r="I584" i="4"/>
  <c r="C584" i="4"/>
  <c r="J583" i="4"/>
  <c r="I583" i="4"/>
  <c r="C583" i="4"/>
  <c r="C582" i="4"/>
  <c r="J581" i="4"/>
  <c r="I581" i="4"/>
  <c r="C581" i="4"/>
  <c r="J580" i="4"/>
  <c r="I580" i="4"/>
  <c r="C580" i="4"/>
  <c r="J579" i="4"/>
  <c r="I579" i="4"/>
  <c r="C579" i="4"/>
  <c r="J578" i="4"/>
  <c r="I578" i="4"/>
  <c r="C578" i="4"/>
  <c r="J577" i="4"/>
  <c r="I577" i="4"/>
  <c r="C577" i="4"/>
  <c r="J576" i="4"/>
  <c r="I576" i="4"/>
  <c r="C576" i="4"/>
  <c r="J575" i="4"/>
  <c r="I575" i="4"/>
  <c r="C575" i="4"/>
  <c r="C574" i="4"/>
  <c r="J573" i="4"/>
  <c r="I573" i="4"/>
  <c r="C573" i="4"/>
  <c r="J572" i="4"/>
  <c r="I572" i="4"/>
  <c r="C572" i="4"/>
  <c r="J571" i="4"/>
  <c r="I571" i="4"/>
  <c r="C571" i="4"/>
  <c r="J570" i="4"/>
  <c r="I570" i="4"/>
  <c r="C570" i="4"/>
  <c r="J569" i="4"/>
  <c r="I569" i="4"/>
  <c r="C569" i="4"/>
  <c r="J568" i="4"/>
  <c r="I568" i="4"/>
  <c r="C568" i="4"/>
  <c r="J567" i="4"/>
  <c r="I567" i="4"/>
  <c r="C567" i="4"/>
  <c r="C566" i="4"/>
  <c r="J565" i="4"/>
  <c r="I565" i="4"/>
  <c r="C565" i="4"/>
  <c r="J564" i="4"/>
  <c r="I564" i="4"/>
  <c r="C564" i="4"/>
  <c r="J563" i="4"/>
  <c r="I563" i="4"/>
  <c r="C563" i="4"/>
  <c r="J562" i="4"/>
  <c r="I562" i="4"/>
  <c r="C562" i="4"/>
  <c r="J561" i="4"/>
  <c r="I561" i="4"/>
  <c r="C561" i="4"/>
  <c r="J560" i="4"/>
  <c r="I560" i="4"/>
  <c r="C560" i="4"/>
  <c r="J559" i="4"/>
  <c r="I559" i="4"/>
  <c r="C559" i="4"/>
  <c r="C558" i="4"/>
  <c r="J557" i="4"/>
  <c r="I557" i="4"/>
  <c r="C557" i="4"/>
  <c r="J556" i="4"/>
  <c r="I556" i="4"/>
  <c r="C556" i="4"/>
  <c r="J555" i="4"/>
  <c r="I555" i="4"/>
  <c r="C555" i="4"/>
  <c r="J554" i="4"/>
  <c r="I554" i="4"/>
  <c r="C554" i="4"/>
  <c r="J553" i="4"/>
  <c r="I553" i="4"/>
  <c r="C553" i="4"/>
  <c r="J552" i="4"/>
  <c r="I552" i="4"/>
  <c r="C552" i="4"/>
  <c r="J551" i="4"/>
  <c r="I551" i="4"/>
  <c r="C551" i="4"/>
  <c r="C550" i="4"/>
  <c r="J549" i="4"/>
  <c r="I549" i="4"/>
  <c r="C549" i="4"/>
  <c r="J548" i="4"/>
  <c r="I548" i="4"/>
  <c r="C548" i="4"/>
  <c r="J547" i="4"/>
  <c r="I547" i="4"/>
  <c r="C547" i="4"/>
  <c r="J546" i="4"/>
  <c r="I546" i="4"/>
  <c r="C546" i="4"/>
  <c r="J545" i="4"/>
  <c r="I545" i="4"/>
  <c r="C545" i="4"/>
  <c r="J544" i="4"/>
  <c r="I544" i="4"/>
  <c r="C544" i="4"/>
  <c r="J543" i="4"/>
  <c r="I543" i="4"/>
  <c r="C543" i="4"/>
  <c r="C542" i="4"/>
  <c r="J541" i="4"/>
  <c r="I541" i="4"/>
  <c r="C541" i="4"/>
  <c r="J540" i="4"/>
  <c r="I540" i="4"/>
  <c r="C540" i="4"/>
  <c r="J539" i="4"/>
  <c r="I539" i="4"/>
  <c r="C539" i="4"/>
  <c r="J538" i="4"/>
  <c r="I538" i="4"/>
  <c r="C538" i="4"/>
  <c r="J537" i="4"/>
  <c r="I537" i="4"/>
  <c r="C537" i="4"/>
  <c r="J536" i="4"/>
  <c r="I536" i="4"/>
  <c r="C536" i="4"/>
  <c r="J535" i="4"/>
  <c r="I535" i="4"/>
  <c r="C535" i="4"/>
  <c r="C534" i="4"/>
  <c r="J533" i="4"/>
  <c r="I533" i="4"/>
  <c r="C533" i="4"/>
  <c r="J532" i="4"/>
  <c r="I532" i="4"/>
  <c r="C532" i="4"/>
  <c r="C531" i="4"/>
  <c r="J530" i="4"/>
  <c r="I530" i="4"/>
  <c r="C530" i="4"/>
  <c r="J529" i="4"/>
  <c r="I529" i="4"/>
  <c r="C529" i="4"/>
  <c r="J528" i="4"/>
  <c r="I528" i="4"/>
  <c r="C528" i="4"/>
  <c r="J527" i="4"/>
  <c r="I527" i="4"/>
  <c r="C527" i="4"/>
  <c r="J526" i="4"/>
  <c r="I526" i="4"/>
  <c r="C526" i="4"/>
  <c r="J525" i="4"/>
  <c r="I525" i="4"/>
  <c r="C525" i="4"/>
  <c r="J524" i="4"/>
  <c r="I524" i="4"/>
  <c r="C524" i="4"/>
  <c r="C523" i="4"/>
  <c r="J522" i="4"/>
  <c r="I522" i="4"/>
  <c r="C522" i="4"/>
  <c r="J521" i="4"/>
  <c r="I521" i="4"/>
  <c r="C521" i="4"/>
  <c r="C520" i="4"/>
  <c r="J519" i="4"/>
  <c r="I519" i="4"/>
  <c r="C519" i="4"/>
  <c r="J518" i="4"/>
  <c r="I518" i="4"/>
  <c r="C518" i="4"/>
  <c r="J517" i="4"/>
  <c r="I517" i="4"/>
  <c r="C517" i="4"/>
  <c r="J516" i="4"/>
  <c r="I516" i="4"/>
  <c r="C516" i="4"/>
  <c r="J515" i="4"/>
  <c r="I515" i="4"/>
  <c r="C515" i="4"/>
  <c r="J514" i="4"/>
  <c r="I514" i="4"/>
  <c r="C514" i="4"/>
  <c r="J513" i="4"/>
  <c r="I513" i="4"/>
  <c r="C513" i="4"/>
  <c r="C512" i="4"/>
  <c r="J511" i="4"/>
  <c r="I511" i="4"/>
  <c r="C511" i="4"/>
  <c r="J510" i="4"/>
  <c r="I510" i="4"/>
  <c r="C510" i="4"/>
  <c r="J509" i="4"/>
  <c r="I509" i="4"/>
  <c r="C509" i="4"/>
  <c r="J508" i="4"/>
  <c r="I508" i="4"/>
  <c r="C508" i="4"/>
  <c r="J507" i="4"/>
  <c r="I507" i="4"/>
  <c r="C507" i="4"/>
  <c r="J506" i="4"/>
  <c r="I506" i="4"/>
  <c r="C506" i="4"/>
  <c r="J505" i="4"/>
  <c r="I505" i="4"/>
  <c r="C505" i="4"/>
  <c r="C504" i="4"/>
  <c r="J503" i="4"/>
  <c r="I503" i="4"/>
  <c r="C503" i="4"/>
  <c r="J502" i="4"/>
  <c r="I502" i="4"/>
  <c r="C502" i="4"/>
  <c r="J501" i="4"/>
  <c r="I501" i="4"/>
  <c r="C501" i="4"/>
  <c r="J500" i="4"/>
  <c r="I500" i="4"/>
  <c r="C500" i="4"/>
  <c r="J499" i="4"/>
  <c r="I499" i="4"/>
  <c r="C499" i="4"/>
  <c r="J498" i="4"/>
  <c r="I498" i="4"/>
  <c r="C498" i="4"/>
  <c r="J497" i="4"/>
  <c r="I497" i="4"/>
  <c r="C497" i="4"/>
  <c r="C496" i="4"/>
  <c r="J495" i="4"/>
  <c r="I495" i="4"/>
  <c r="C495" i="4"/>
  <c r="J494" i="4"/>
  <c r="I494" i="4"/>
  <c r="C494" i="4"/>
  <c r="J493" i="4"/>
  <c r="I493" i="4"/>
  <c r="C493" i="4"/>
  <c r="J492" i="4"/>
  <c r="I492" i="4"/>
  <c r="C492" i="4"/>
  <c r="J491" i="4"/>
  <c r="I491" i="4"/>
  <c r="C491" i="4"/>
  <c r="J490" i="4"/>
  <c r="I490" i="4"/>
  <c r="C490" i="4"/>
  <c r="J489" i="4"/>
  <c r="I489" i="4"/>
  <c r="C489" i="4"/>
  <c r="C488" i="4"/>
  <c r="J487" i="4"/>
  <c r="I487" i="4"/>
  <c r="C487" i="4"/>
  <c r="J486" i="4"/>
  <c r="I486" i="4"/>
  <c r="C486" i="4"/>
  <c r="J485" i="4"/>
  <c r="I485" i="4"/>
  <c r="C485" i="4"/>
  <c r="J484" i="4"/>
  <c r="I484" i="4"/>
  <c r="C484" i="4"/>
  <c r="J483" i="4"/>
  <c r="I483" i="4"/>
  <c r="C483" i="4"/>
  <c r="J482" i="4"/>
  <c r="I482" i="4"/>
  <c r="C482" i="4"/>
  <c r="J481" i="4"/>
  <c r="I481" i="4"/>
  <c r="C481" i="4"/>
  <c r="C480" i="4"/>
  <c r="J479" i="4"/>
  <c r="I479" i="4"/>
  <c r="C479" i="4"/>
  <c r="J478" i="4"/>
  <c r="I478" i="4"/>
  <c r="C478" i="4"/>
  <c r="J477" i="4"/>
  <c r="I477" i="4"/>
  <c r="C477" i="4"/>
  <c r="J476" i="4"/>
  <c r="I476" i="4"/>
  <c r="C476" i="4"/>
  <c r="J475" i="4"/>
  <c r="I475" i="4"/>
  <c r="C475" i="4"/>
  <c r="J474" i="4"/>
  <c r="I474" i="4"/>
  <c r="C474" i="4"/>
  <c r="J473" i="4"/>
  <c r="I473" i="4"/>
  <c r="C473" i="4"/>
  <c r="C472" i="4"/>
  <c r="J471" i="4"/>
  <c r="I471" i="4"/>
  <c r="C471" i="4"/>
  <c r="J470" i="4"/>
  <c r="I470" i="4"/>
  <c r="C470" i="4"/>
  <c r="J469" i="4"/>
  <c r="I469" i="4"/>
  <c r="C469" i="4"/>
  <c r="J468" i="4"/>
  <c r="I468" i="4"/>
  <c r="C468" i="4"/>
  <c r="J467" i="4"/>
  <c r="I467" i="4"/>
  <c r="C467" i="4"/>
  <c r="J466" i="4"/>
  <c r="I466" i="4"/>
  <c r="C466" i="4"/>
  <c r="J465" i="4"/>
  <c r="I465" i="4"/>
  <c r="C465" i="4"/>
  <c r="C464" i="4"/>
  <c r="J463" i="4"/>
  <c r="I463" i="4"/>
  <c r="C463" i="4"/>
  <c r="J462" i="4"/>
  <c r="I462" i="4"/>
  <c r="C462" i="4"/>
  <c r="J461" i="4"/>
  <c r="I461" i="4"/>
  <c r="C461" i="4"/>
  <c r="J460" i="4"/>
  <c r="I460" i="4"/>
  <c r="C460" i="4"/>
  <c r="J459" i="4"/>
  <c r="I459" i="4"/>
  <c r="C459" i="4"/>
  <c r="J458" i="4"/>
  <c r="I458" i="4"/>
  <c r="C458" i="4"/>
  <c r="J457" i="4"/>
  <c r="I457" i="4"/>
  <c r="C457" i="4"/>
  <c r="C456" i="4"/>
  <c r="J455" i="4"/>
  <c r="I455" i="4"/>
  <c r="C455" i="4"/>
  <c r="J454" i="4"/>
  <c r="I454" i="4"/>
  <c r="C454" i="4"/>
  <c r="J453" i="4"/>
  <c r="I453" i="4"/>
  <c r="C453" i="4"/>
  <c r="J452" i="4"/>
  <c r="I452" i="4"/>
  <c r="C452" i="4"/>
  <c r="J451" i="4"/>
  <c r="I451" i="4"/>
  <c r="C451" i="4"/>
  <c r="J450" i="4"/>
  <c r="I450" i="4"/>
  <c r="C450" i="4"/>
  <c r="J449" i="4"/>
  <c r="I449" i="4"/>
  <c r="C449" i="4"/>
  <c r="C448" i="4"/>
  <c r="J447" i="4"/>
  <c r="I447" i="4"/>
  <c r="C447" i="4"/>
  <c r="J446" i="4"/>
  <c r="I446" i="4"/>
  <c r="C446" i="4"/>
  <c r="J445" i="4"/>
  <c r="I445" i="4"/>
  <c r="C445" i="4"/>
  <c r="J444" i="4"/>
  <c r="I444" i="4"/>
  <c r="C444" i="4"/>
  <c r="J443" i="4"/>
  <c r="I443" i="4"/>
  <c r="C443" i="4"/>
  <c r="J442" i="4"/>
  <c r="I442" i="4"/>
  <c r="C442" i="4"/>
  <c r="J441" i="4"/>
  <c r="I441" i="4"/>
  <c r="C441" i="4"/>
  <c r="C440" i="4"/>
  <c r="J439" i="4"/>
  <c r="I439" i="4"/>
  <c r="C439" i="4"/>
  <c r="J438" i="4"/>
  <c r="I438" i="4"/>
  <c r="C438" i="4"/>
  <c r="J437" i="4"/>
  <c r="I437" i="4"/>
  <c r="C437" i="4"/>
  <c r="C436" i="4"/>
  <c r="J435" i="4"/>
  <c r="I435" i="4"/>
  <c r="C435" i="4"/>
  <c r="J434" i="4"/>
  <c r="I434" i="4"/>
  <c r="C434" i="4"/>
  <c r="J433" i="4"/>
  <c r="I433" i="4"/>
  <c r="C433" i="4"/>
  <c r="J432" i="4"/>
  <c r="I432" i="4"/>
  <c r="C432" i="4"/>
  <c r="J431" i="4"/>
  <c r="I431" i="4"/>
  <c r="C431" i="4"/>
  <c r="J430" i="4"/>
  <c r="I430" i="4"/>
  <c r="C430" i="4"/>
  <c r="J429" i="4"/>
  <c r="I429" i="4"/>
  <c r="C429" i="4"/>
  <c r="C428" i="4"/>
  <c r="J427" i="4"/>
  <c r="I427" i="4"/>
  <c r="C427" i="4"/>
  <c r="J426" i="4"/>
  <c r="I426" i="4"/>
  <c r="C426" i="4"/>
  <c r="J425" i="4"/>
  <c r="I425" i="4"/>
  <c r="C425" i="4"/>
  <c r="J424" i="4"/>
  <c r="I424" i="4"/>
  <c r="C424" i="4"/>
  <c r="J423" i="4"/>
  <c r="I423" i="4"/>
  <c r="C423" i="4"/>
  <c r="J422" i="4"/>
  <c r="I422" i="4"/>
  <c r="C422" i="4"/>
  <c r="J421" i="4"/>
  <c r="I421" i="4"/>
  <c r="C421" i="4"/>
  <c r="C420" i="4"/>
  <c r="J419" i="4"/>
  <c r="I419" i="4"/>
  <c r="C419" i="4"/>
  <c r="J418" i="4"/>
  <c r="I418" i="4"/>
  <c r="C418" i="4"/>
  <c r="J417" i="4"/>
  <c r="I417" i="4"/>
  <c r="C417" i="4"/>
  <c r="C416" i="4"/>
  <c r="C415" i="4"/>
  <c r="J414" i="4"/>
  <c r="I414" i="4"/>
  <c r="C414" i="4"/>
  <c r="J413" i="4"/>
  <c r="I413" i="4"/>
  <c r="C413" i="4"/>
  <c r="J412" i="4"/>
  <c r="I412" i="4"/>
  <c r="C412" i="4"/>
  <c r="J411" i="4"/>
  <c r="I411" i="4"/>
  <c r="C411" i="4"/>
  <c r="J410" i="4"/>
  <c r="I410" i="4"/>
  <c r="C410" i="4"/>
  <c r="C409" i="4"/>
  <c r="J408" i="4"/>
  <c r="I408" i="4"/>
  <c r="C408" i="4"/>
  <c r="J407" i="4"/>
  <c r="I407" i="4"/>
  <c r="C407" i="4"/>
  <c r="J406" i="4"/>
  <c r="I406" i="4"/>
  <c r="C406" i="4"/>
  <c r="J405" i="4"/>
  <c r="I405" i="4"/>
  <c r="C405" i="4"/>
  <c r="C404" i="4"/>
  <c r="J403" i="4"/>
  <c r="I403" i="4"/>
  <c r="C403" i="4"/>
  <c r="J402" i="4"/>
  <c r="I402" i="4"/>
  <c r="C402" i="4"/>
  <c r="C401" i="4"/>
  <c r="J400" i="4"/>
  <c r="I400" i="4"/>
  <c r="C400" i="4"/>
  <c r="J399" i="4"/>
  <c r="I399" i="4"/>
  <c r="C399" i="4"/>
  <c r="J398" i="4"/>
  <c r="I398" i="4"/>
  <c r="C398" i="4"/>
  <c r="J397" i="4"/>
  <c r="I397" i="4"/>
  <c r="C397" i="4"/>
  <c r="J396" i="4"/>
  <c r="I396" i="4"/>
  <c r="C396" i="4"/>
  <c r="J395" i="4"/>
  <c r="I395" i="4"/>
  <c r="C395" i="4"/>
  <c r="C394" i="4"/>
  <c r="J393" i="4"/>
  <c r="I393" i="4"/>
  <c r="C393" i="4"/>
  <c r="J392" i="4"/>
  <c r="I392" i="4"/>
  <c r="C392" i="4"/>
  <c r="J391" i="4"/>
  <c r="I391" i="4"/>
  <c r="C391" i="4"/>
  <c r="J390" i="4"/>
  <c r="I390" i="4"/>
  <c r="C390" i="4"/>
  <c r="C389" i="4"/>
  <c r="J388" i="4"/>
  <c r="I388" i="4"/>
  <c r="C388" i="4"/>
  <c r="J387" i="4"/>
  <c r="I387" i="4"/>
  <c r="C387" i="4"/>
  <c r="J386" i="4"/>
  <c r="I386" i="4"/>
  <c r="C386" i="4"/>
  <c r="J385" i="4"/>
  <c r="I385" i="4"/>
  <c r="C385" i="4"/>
  <c r="J384" i="4"/>
  <c r="I384" i="4"/>
  <c r="C384" i="4"/>
  <c r="J383" i="4"/>
  <c r="I383" i="4"/>
  <c r="C383" i="4"/>
  <c r="C382" i="4"/>
  <c r="J381" i="4"/>
  <c r="I381" i="4"/>
  <c r="C381" i="4"/>
  <c r="J380" i="4"/>
  <c r="I380" i="4"/>
  <c r="C380" i="4"/>
  <c r="J379" i="4"/>
  <c r="I379" i="4"/>
  <c r="C379" i="4"/>
  <c r="J378" i="4"/>
  <c r="I378" i="4"/>
  <c r="C378" i="4"/>
  <c r="J377" i="4"/>
  <c r="I377" i="4"/>
  <c r="C377" i="4"/>
  <c r="J376" i="4"/>
  <c r="I376" i="4"/>
  <c r="C376" i="4"/>
  <c r="J375" i="4"/>
  <c r="I375" i="4"/>
  <c r="C375" i="4"/>
  <c r="C374" i="4"/>
  <c r="J373" i="4"/>
  <c r="I373" i="4"/>
  <c r="C373" i="4"/>
  <c r="J372" i="4"/>
  <c r="I372" i="4"/>
  <c r="C372" i="4"/>
  <c r="J371" i="4"/>
  <c r="I371" i="4"/>
  <c r="C371" i="4"/>
  <c r="J370" i="4"/>
  <c r="I370" i="4"/>
  <c r="C370" i="4"/>
  <c r="J369" i="4"/>
  <c r="I369" i="4"/>
  <c r="C369" i="4"/>
  <c r="J368" i="4"/>
  <c r="I368" i="4"/>
  <c r="C368" i="4"/>
  <c r="C367" i="4"/>
  <c r="J366" i="4"/>
  <c r="I366" i="4"/>
  <c r="C366" i="4"/>
  <c r="C365" i="4"/>
  <c r="C364" i="4"/>
  <c r="J363" i="4"/>
  <c r="I363" i="4"/>
  <c r="C363" i="4"/>
  <c r="J362" i="4"/>
  <c r="I362" i="4"/>
  <c r="C362" i="4"/>
  <c r="J361" i="4"/>
  <c r="I361" i="4"/>
  <c r="C361" i="4"/>
  <c r="J360" i="4"/>
  <c r="I360" i="4"/>
  <c r="C360" i="4"/>
  <c r="J359" i="4"/>
  <c r="I359" i="4"/>
  <c r="C359" i="4"/>
  <c r="J358" i="4"/>
  <c r="I358" i="4"/>
  <c r="C358" i="4"/>
  <c r="C357" i="4"/>
  <c r="J356" i="4"/>
  <c r="I356" i="4"/>
  <c r="C356" i="4"/>
  <c r="J355" i="4"/>
  <c r="I355" i="4"/>
  <c r="C355" i="4"/>
  <c r="J354" i="4"/>
  <c r="I354" i="4"/>
  <c r="C354" i="4"/>
  <c r="J353" i="4"/>
  <c r="I353" i="4"/>
  <c r="C353" i="4"/>
  <c r="J352" i="4"/>
  <c r="I352" i="4"/>
  <c r="C352" i="4"/>
  <c r="J351" i="4"/>
  <c r="I351" i="4"/>
  <c r="C351" i="4"/>
  <c r="J350" i="4"/>
  <c r="I350" i="4"/>
  <c r="C350" i="4"/>
  <c r="C349" i="4"/>
  <c r="J348" i="4"/>
  <c r="I348" i="4"/>
  <c r="C348" i="4"/>
  <c r="J347" i="4"/>
  <c r="I347" i="4"/>
  <c r="C347" i="4"/>
  <c r="J346" i="4"/>
  <c r="I346" i="4"/>
  <c r="C346" i="4"/>
  <c r="J345" i="4"/>
  <c r="I345" i="4"/>
  <c r="C345" i="4"/>
  <c r="J344" i="4"/>
  <c r="I344" i="4"/>
  <c r="C344" i="4"/>
  <c r="J343" i="4"/>
  <c r="I343" i="4"/>
  <c r="C343" i="4"/>
  <c r="J342" i="4"/>
  <c r="I342" i="4"/>
  <c r="C342" i="4"/>
  <c r="C341" i="4"/>
  <c r="J340" i="4"/>
  <c r="I340" i="4"/>
  <c r="C340" i="4"/>
  <c r="J339" i="4"/>
  <c r="I339" i="4"/>
  <c r="C339" i="4"/>
  <c r="J338" i="4"/>
  <c r="I338" i="4"/>
  <c r="C338" i="4"/>
  <c r="J337" i="4"/>
  <c r="I337" i="4"/>
  <c r="C337" i="4"/>
  <c r="J336" i="4"/>
  <c r="I336" i="4"/>
  <c r="C336" i="4"/>
  <c r="J335" i="4"/>
  <c r="I335" i="4"/>
  <c r="C335" i="4"/>
  <c r="J334" i="4"/>
  <c r="I334" i="4"/>
  <c r="C334" i="4"/>
  <c r="C333" i="4"/>
  <c r="J332" i="4"/>
  <c r="I332" i="4"/>
  <c r="C332" i="4"/>
  <c r="J331" i="4"/>
  <c r="I331" i="4"/>
  <c r="C331" i="4"/>
  <c r="J330" i="4"/>
  <c r="I330" i="4"/>
  <c r="C330" i="4"/>
  <c r="J329" i="4"/>
  <c r="I329" i="4"/>
  <c r="C329" i="4"/>
  <c r="J328" i="4"/>
  <c r="I328" i="4"/>
  <c r="C328" i="4"/>
  <c r="C327" i="4"/>
  <c r="J326" i="4"/>
  <c r="I326" i="4"/>
  <c r="C326" i="4"/>
  <c r="C325" i="4"/>
  <c r="C324" i="4"/>
  <c r="C323" i="4"/>
  <c r="C322" i="4"/>
  <c r="C321" i="4"/>
  <c r="C320" i="4"/>
  <c r="C319" i="4"/>
  <c r="C318" i="4"/>
  <c r="C317" i="4"/>
  <c r="J316" i="4"/>
  <c r="I316" i="4"/>
  <c r="C316" i="4"/>
  <c r="J315" i="4"/>
  <c r="I315" i="4"/>
  <c r="C315" i="4"/>
  <c r="J314" i="4"/>
  <c r="I314" i="4"/>
  <c r="C314" i="4"/>
  <c r="J313" i="4"/>
  <c r="I313" i="4"/>
  <c r="C313" i="4"/>
  <c r="J312" i="4"/>
  <c r="I312" i="4"/>
  <c r="C312" i="4"/>
  <c r="J311" i="4"/>
  <c r="I311" i="4"/>
  <c r="C311" i="4"/>
  <c r="J310" i="4"/>
  <c r="I310" i="4"/>
  <c r="C310" i="4"/>
  <c r="C309" i="4"/>
  <c r="C308" i="4"/>
  <c r="C307" i="4"/>
  <c r="C306" i="4"/>
  <c r="C305" i="4"/>
  <c r="C304" i="4"/>
  <c r="C303" i="4"/>
  <c r="C302" i="4"/>
  <c r="C301" i="4"/>
  <c r="C300" i="4"/>
  <c r="J299" i="4"/>
  <c r="I299" i="4"/>
  <c r="C299" i="4"/>
  <c r="C298" i="4"/>
  <c r="J297" i="4"/>
  <c r="I297" i="4"/>
  <c r="C297" i="4"/>
  <c r="J296" i="4"/>
  <c r="I296" i="4"/>
  <c r="C296" i="4"/>
  <c r="J295" i="4"/>
  <c r="I295" i="4"/>
  <c r="C295" i="4"/>
  <c r="J294" i="4"/>
  <c r="I294" i="4"/>
  <c r="C294" i="4"/>
  <c r="C293" i="4"/>
  <c r="C292" i="4"/>
  <c r="C291" i="4"/>
  <c r="C290" i="4"/>
  <c r="C289" i="4"/>
  <c r="C288" i="4"/>
  <c r="J287" i="4"/>
  <c r="I287" i="4"/>
  <c r="C287" i="4"/>
  <c r="J286" i="4"/>
  <c r="I286" i="4"/>
  <c r="C286" i="4"/>
  <c r="J285" i="4"/>
  <c r="I285" i="4"/>
  <c r="C285" i="4"/>
  <c r="J284" i="4"/>
  <c r="I284" i="4"/>
  <c r="C284" i="4"/>
  <c r="J283" i="4"/>
  <c r="I283" i="4"/>
  <c r="C283" i="4"/>
  <c r="J282" i="4"/>
  <c r="I282" i="4"/>
  <c r="C282" i="4"/>
  <c r="J281" i="4"/>
  <c r="I281" i="4"/>
  <c r="C281" i="4"/>
  <c r="C280" i="4"/>
  <c r="C279" i="4"/>
  <c r="J278" i="4"/>
  <c r="I278" i="4"/>
  <c r="C278" i="4"/>
  <c r="J277" i="4"/>
  <c r="I277" i="4"/>
  <c r="C277" i="4"/>
  <c r="J276" i="4"/>
  <c r="I276" i="4"/>
  <c r="C276" i="4"/>
  <c r="J275" i="4"/>
  <c r="I275" i="4"/>
  <c r="C275" i="4"/>
  <c r="J274" i="4"/>
  <c r="I274" i="4"/>
  <c r="C274" i="4"/>
  <c r="J273" i="4"/>
  <c r="I273" i="4"/>
  <c r="C273" i="4"/>
  <c r="J272" i="4"/>
  <c r="I272" i="4"/>
  <c r="C272" i="4"/>
  <c r="C271" i="4"/>
  <c r="J270" i="4"/>
  <c r="I270" i="4"/>
  <c r="C270" i="4"/>
  <c r="J269" i="4"/>
  <c r="I269" i="4"/>
  <c r="C269" i="4"/>
  <c r="J268" i="4"/>
  <c r="I268" i="4"/>
  <c r="C268" i="4"/>
  <c r="J267" i="4"/>
  <c r="I267" i="4"/>
  <c r="C267" i="4"/>
  <c r="J266" i="4"/>
  <c r="I266" i="4"/>
  <c r="C266" i="4"/>
  <c r="J265" i="4"/>
  <c r="I265" i="4"/>
  <c r="C265" i="4"/>
  <c r="J264" i="4"/>
  <c r="I264" i="4"/>
  <c r="C264" i="4"/>
  <c r="C263" i="4"/>
  <c r="C262" i="4"/>
  <c r="C261" i="4"/>
  <c r="C260" i="4"/>
  <c r="C259" i="4"/>
  <c r="C258" i="4"/>
  <c r="C257" i="4"/>
  <c r="C256" i="4"/>
  <c r="C255" i="4"/>
  <c r="J254" i="4"/>
  <c r="I254" i="4"/>
  <c r="C254" i="4"/>
  <c r="J253" i="4"/>
  <c r="I253" i="4"/>
  <c r="C253" i="4"/>
  <c r="J252" i="4"/>
  <c r="I252" i="4"/>
  <c r="C252" i="4"/>
  <c r="J251" i="4"/>
  <c r="I251" i="4"/>
  <c r="C251" i="4"/>
  <c r="J250" i="4"/>
  <c r="I250" i="4"/>
  <c r="C250" i="4"/>
  <c r="J249" i="4"/>
  <c r="I249" i="4"/>
  <c r="C249" i="4"/>
  <c r="J248" i="4"/>
  <c r="I248" i="4"/>
  <c r="C248" i="4"/>
  <c r="C247" i="4"/>
  <c r="J246" i="4"/>
  <c r="I246" i="4"/>
  <c r="C246" i="4"/>
  <c r="J245" i="4"/>
  <c r="I245" i="4"/>
  <c r="C245" i="4"/>
  <c r="J244" i="4"/>
  <c r="I244" i="4"/>
  <c r="C244" i="4"/>
  <c r="J243" i="4"/>
  <c r="I243" i="4"/>
  <c r="C243" i="4"/>
  <c r="C242" i="4"/>
  <c r="J241" i="4"/>
  <c r="I241" i="4"/>
  <c r="C241" i="4"/>
  <c r="J240" i="4"/>
  <c r="I240" i="4"/>
  <c r="C240" i="4"/>
  <c r="J239" i="4"/>
  <c r="I239" i="4"/>
  <c r="C239" i="4"/>
  <c r="J238" i="4"/>
  <c r="I238" i="4"/>
  <c r="C238" i="4"/>
  <c r="J237" i="4"/>
  <c r="I237" i="4"/>
  <c r="C237" i="4"/>
  <c r="J236" i="4"/>
  <c r="I236" i="4"/>
  <c r="C236" i="4"/>
  <c r="J235" i="4"/>
  <c r="I235" i="4"/>
  <c r="C235" i="4"/>
  <c r="C234" i="4"/>
  <c r="J233" i="4"/>
  <c r="I233" i="4"/>
  <c r="C233" i="4"/>
  <c r="J232" i="4"/>
  <c r="I232" i="4"/>
  <c r="C232" i="4"/>
  <c r="J231" i="4"/>
  <c r="I231" i="4"/>
  <c r="C231" i="4"/>
  <c r="J230" i="4"/>
  <c r="I230" i="4"/>
  <c r="C230" i="4"/>
  <c r="J229" i="4"/>
  <c r="I229" i="4"/>
  <c r="C229" i="4"/>
  <c r="J228" i="4"/>
  <c r="I228" i="4"/>
  <c r="C228" i="4"/>
  <c r="J227" i="4"/>
  <c r="I227" i="4"/>
  <c r="C227" i="4"/>
  <c r="C226" i="4"/>
  <c r="J225" i="4"/>
  <c r="I225" i="4"/>
  <c r="C225" i="4"/>
  <c r="J224" i="4"/>
  <c r="I224" i="4"/>
  <c r="C224" i="4"/>
  <c r="J223" i="4"/>
  <c r="I223" i="4"/>
  <c r="C223" i="4"/>
  <c r="J222" i="4"/>
  <c r="I222" i="4"/>
  <c r="C222" i="4"/>
  <c r="J221" i="4"/>
  <c r="I221" i="4"/>
  <c r="C221" i="4"/>
  <c r="J220" i="4"/>
  <c r="I220" i="4"/>
  <c r="C220" i="4"/>
  <c r="J219" i="4"/>
  <c r="I219" i="4"/>
  <c r="C219" i="4"/>
  <c r="C218" i="4"/>
  <c r="J217" i="4"/>
  <c r="I217" i="4"/>
  <c r="C217" i="4"/>
  <c r="J216" i="4"/>
  <c r="I216" i="4"/>
  <c r="C216" i="4"/>
  <c r="J215" i="4"/>
  <c r="I215" i="4"/>
  <c r="C215" i="4"/>
  <c r="J214" i="4"/>
  <c r="I214" i="4"/>
  <c r="C214" i="4"/>
  <c r="J213" i="4"/>
  <c r="I213" i="4"/>
  <c r="C213" i="4"/>
  <c r="J212" i="4"/>
  <c r="I212" i="4"/>
  <c r="C212" i="4"/>
  <c r="C211" i="4"/>
  <c r="J210" i="4"/>
  <c r="I210" i="4"/>
  <c r="C210" i="4"/>
  <c r="C209" i="4"/>
  <c r="J208" i="4"/>
  <c r="I208" i="4"/>
  <c r="C208" i="4"/>
  <c r="J207" i="4"/>
  <c r="I207" i="4"/>
  <c r="C207" i="4"/>
  <c r="J206" i="4"/>
  <c r="I206" i="4"/>
  <c r="C206" i="4"/>
  <c r="J205" i="4"/>
  <c r="I205" i="4"/>
  <c r="C205" i="4"/>
  <c r="J204" i="4"/>
  <c r="I204" i="4"/>
  <c r="C204" i="4"/>
  <c r="J203" i="4"/>
  <c r="I203" i="4"/>
  <c r="C203" i="4"/>
  <c r="J202" i="4"/>
  <c r="I202" i="4"/>
  <c r="C202" i="4"/>
  <c r="C201" i="4"/>
  <c r="J200" i="4"/>
  <c r="I200" i="4"/>
  <c r="C200" i="4"/>
  <c r="J199" i="4"/>
  <c r="I199" i="4"/>
  <c r="C199" i="4"/>
  <c r="J198" i="4"/>
  <c r="I198" i="4"/>
  <c r="C198" i="4"/>
  <c r="J197" i="4"/>
  <c r="I197" i="4"/>
  <c r="C197" i="4"/>
  <c r="J196" i="4"/>
  <c r="I196" i="4"/>
  <c r="C196" i="4"/>
  <c r="J195" i="4"/>
  <c r="I195" i="4"/>
  <c r="C195" i="4"/>
  <c r="J194" i="4"/>
  <c r="I194" i="4"/>
  <c r="C194" i="4"/>
  <c r="C193" i="4"/>
  <c r="J192" i="4"/>
  <c r="I192" i="4"/>
  <c r="C192" i="4"/>
  <c r="J191" i="4"/>
  <c r="I191" i="4"/>
  <c r="C191" i="4"/>
  <c r="J190" i="4"/>
  <c r="I190" i="4"/>
  <c r="C190" i="4"/>
  <c r="J189" i="4"/>
  <c r="I189" i="4"/>
  <c r="C189" i="4"/>
  <c r="J188" i="4"/>
  <c r="I188" i="4"/>
  <c r="C188" i="4"/>
  <c r="J187" i="4"/>
  <c r="I187" i="4"/>
  <c r="C187" i="4"/>
  <c r="J186" i="4"/>
  <c r="I186" i="4"/>
  <c r="C186" i="4"/>
  <c r="C185" i="4"/>
  <c r="J184" i="4"/>
  <c r="I184" i="4"/>
  <c r="C184" i="4"/>
  <c r="J183" i="4"/>
  <c r="I183" i="4"/>
  <c r="C183" i="4"/>
  <c r="J182" i="4"/>
  <c r="I182" i="4"/>
  <c r="C182" i="4"/>
  <c r="J181" i="4"/>
  <c r="I181" i="4"/>
  <c r="C181" i="4"/>
  <c r="J180" i="4"/>
  <c r="I180" i="4"/>
  <c r="C180" i="4"/>
  <c r="J179" i="4"/>
  <c r="I179" i="4"/>
  <c r="C179" i="4"/>
  <c r="J178" i="4"/>
  <c r="I178" i="4"/>
  <c r="C178" i="4"/>
  <c r="C177" i="4"/>
  <c r="J176" i="4"/>
  <c r="I176" i="4"/>
  <c r="C176" i="4"/>
  <c r="J175" i="4"/>
  <c r="I175" i="4"/>
  <c r="C175" i="4"/>
  <c r="J174" i="4"/>
  <c r="I174" i="4"/>
  <c r="C174" i="4"/>
  <c r="J173" i="4"/>
  <c r="I173" i="4"/>
  <c r="C173" i="4"/>
  <c r="J172" i="4"/>
  <c r="I172" i="4"/>
  <c r="C172" i="4"/>
  <c r="J171" i="4"/>
  <c r="I171" i="4"/>
  <c r="C171" i="4"/>
  <c r="J170" i="4"/>
  <c r="I170" i="4"/>
  <c r="C170" i="4"/>
  <c r="C169" i="4"/>
  <c r="J168" i="4"/>
  <c r="I168" i="4"/>
  <c r="C168" i="4"/>
  <c r="J167" i="4"/>
  <c r="I167" i="4"/>
  <c r="C167" i="4"/>
  <c r="J166" i="4"/>
  <c r="I166" i="4"/>
  <c r="C166" i="4"/>
  <c r="J165" i="4"/>
  <c r="I165" i="4"/>
  <c r="C165" i="4"/>
  <c r="J164" i="4"/>
  <c r="I164" i="4"/>
  <c r="C164" i="4"/>
  <c r="J163" i="4"/>
  <c r="I163" i="4"/>
  <c r="C163" i="4"/>
  <c r="J162" i="4"/>
  <c r="I162" i="4"/>
  <c r="C162" i="4"/>
  <c r="C161" i="4"/>
  <c r="J160" i="4"/>
  <c r="I160" i="4"/>
  <c r="C160" i="4"/>
  <c r="J159" i="4"/>
  <c r="I159" i="4"/>
  <c r="C159" i="4"/>
  <c r="J158" i="4"/>
  <c r="I158" i="4"/>
  <c r="C158" i="4"/>
  <c r="J157" i="4"/>
  <c r="I157" i="4"/>
  <c r="C157" i="4"/>
  <c r="J156" i="4"/>
  <c r="I156" i="4"/>
  <c r="C156" i="4"/>
  <c r="J155" i="4"/>
  <c r="I155" i="4"/>
  <c r="C155" i="4"/>
  <c r="J154" i="4"/>
  <c r="I154" i="4"/>
  <c r="C154" i="4"/>
  <c r="C153" i="4"/>
  <c r="J152" i="4"/>
  <c r="I152" i="4"/>
  <c r="C152" i="4"/>
  <c r="J151" i="4"/>
  <c r="I151" i="4"/>
  <c r="C151" i="4"/>
  <c r="J150" i="4"/>
  <c r="I150" i="4"/>
  <c r="C150" i="4"/>
  <c r="J149" i="4"/>
  <c r="I149" i="4"/>
  <c r="C149" i="4"/>
  <c r="J148" i="4"/>
  <c r="I148" i="4"/>
  <c r="C148" i="4"/>
  <c r="J147" i="4"/>
  <c r="I147" i="4"/>
  <c r="C147" i="4"/>
  <c r="J146" i="4"/>
  <c r="I146" i="4"/>
  <c r="C146" i="4"/>
  <c r="C145" i="4"/>
  <c r="J144" i="4"/>
  <c r="I144" i="4"/>
  <c r="C144" i="4"/>
  <c r="J143" i="4"/>
  <c r="I143" i="4"/>
  <c r="C143" i="4"/>
  <c r="J142" i="4"/>
  <c r="I142" i="4"/>
  <c r="C142" i="4"/>
  <c r="J141" i="4"/>
  <c r="I141" i="4"/>
  <c r="C141" i="4"/>
  <c r="J140" i="4"/>
  <c r="I140" i="4"/>
  <c r="C140" i="4"/>
  <c r="J139" i="4"/>
  <c r="I139" i="4"/>
  <c r="C139" i="4"/>
  <c r="J138" i="4"/>
  <c r="I138" i="4"/>
  <c r="C138" i="4"/>
  <c r="C137" i="4"/>
  <c r="J136" i="4"/>
  <c r="I136" i="4"/>
  <c r="C136" i="4"/>
  <c r="J135" i="4"/>
  <c r="I135" i="4"/>
  <c r="C135" i="4"/>
  <c r="J134" i="4"/>
  <c r="I134" i="4"/>
  <c r="C134" i="4"/>
  <c r="J133" i="4"/>
  <c r="I133" i="4"/>
  <c r="C133" i="4"/>
  <c r="J132" i="4"/>
  <c r="I132" i="4"/>
  <c r="C132" i="4"/>
  <c r="J131" i="4"/>
  <c r="I131" i="4"/>
  <c r="C131" i="4"/>
  <c r="J130" i="4"/>
  <c r="I130" i="4"/>
  <c r="C130" i="4"/>
  <c r="C129" i="4"/>
  <c r="J128" i="4"/>
  <c r="I128" i="4"/>
  <c r="C128" i="4"/>
  <c r="J127" i="4"/>
  <c r="I127" i="4"/>
  <c r="C127" i="4"/>
  <c r="C126" i="4"/>
  <c r="J125" i="4"/>
  <c r="I125" i="4"/>
  <c r="C125" i="4"/>
  <c r="J124" i="4"/>
  <c r="I124" i="4"/>
  <c r="C124" i="4"/>
  <c r="J123" i="4"/>
  <c r="I123" i="4"/>
  <c r="C123" i="4"/>
  <c r="J122" i="4"/>
  <c r="I122" i="4"/>
  <c r="C122" i="4"/>
  <c r="J121" i="4"/>
  <c r="I121" i="4"/>
  <c r="C121" i="4"/>
  <c r="J120" i="4"/>
  <c r="I120" i="4"/>
  <c r="C120" i="4"/>
  <c r="J119" i="4"/>
  <c r="I119" i="4"/>
  <c r="C119" i="4"/>
  <c r="J118" i="4"/>
  <c r="I118" i="4"/>
  <c r="C118" i="4"/>
  <c r="J117" i="4"/>
  <c r="I117" i="4"/>
  <c r="C117" i="4"/>
  <c r="C116" i="4"/>
  <c r="J115" i="4"/>
  <c r="I115" i="4"/>
  <c r="C115" i="4"/>
  <c r="J114" i="4"/>
  <c r="I114" i="4"/>
  <c r="C114" i="4"/>
  <c r="C113" i="4"/>
  <c r="J112" i="4"/>
  <c r="I112" i="4"/>
  <c r="C112" i="4"/>
  <c r="J111" i="4"/>
  <c r="I111" i="4"/>
  <c r="C111" i="4"/>
  <c r="J110" i="4"/>
  <c r="I110" i="4"/>
  <c r="C110" i="4"/>
  <c r="C109" i="4"/>
  <c r="J108" i="4"/>
  <c r="I108" i="4"/>
  <c r="C108" i="4"/>
  <c r="J107" i="4"/>
  <c r="I107" i="4"/>
  <c r="C107" i="4"/>
  <c r="C106" i="4"/>
  <c r="J105" i="4"/>
  <c r="I105" i="4"/>
  <c r="C105" i="4"/>
  <c r="J104" i="4"/>
  <c r="I104" i="4"/>
  <c r="C104" i="4"/>
  <c r="J103" i="4"/>
  <c r="I103" i="4"/>
  <c r="C103" i="4"/>
  <c r="J102" i="4"/>
  <c r="I102" i="4"/>
  <c r="C102" i="4"/>
  <c r="J101" i="4"/>
  <c r="I101" i="4"/>
  <c r="C101" i="4"/>
  <c r="J100" i="4"/>
  <c r="I100" i="4"/>
  <c r="C100" i="4"/>
  <c r="J99" i="4"/>
  <c r="I99" i="4"/>
  <c r="C99" i="4"/>
  <c r="C98" i="4"/>
  <c r="J97" i="4"/>
  <c r="I97" i="4"/>
  <c r="C97" i="4"/>
  <c r="J96" i="4"/>
  <c r="I96" i="4"/>
  <c r="C96" i="4"/>
  <c r="J95" i="4"/>
  <c r="I95" i="4"/>
  <c r="C95" i="4"/>
  <c r="J94" i="4"/>
  <c r="I94" i="4"/>
  <c r="C94" i="4"/>
  <c r="J93" i="4"/>
  <c r="I93" i="4"/>
  <c r="C93" i="4"/>
  <c r="J92" i="4"/>
  <c r="I92" i="4"/>
  <c r="C92" i="4"/>
  <c r="J91" i="4"/>
  <c r="I91" i="4"/>
  <c r="C91" i="4"/>
  <c r="C90" i="4"/>
  <c r="J89" i="4"/>
  <c r="I89" i="4"/>
  <c r="C89" i="4"/>
  <c r="J88" i="4"/>
  <c r="I88" i="4"/>
  <c r="C88" i="4"/>
  <c r="J87" i="4"/>
  <c r="I87" i="4"/>
  <c r="C87" i="4"/>
  <c r="J86" i="4"/>
  <c r="I86" i="4"/>
  <c r="C86" i="4"/>
  <c r="J85" i="4"/>
  <c r="I85" i="4"/>
  <c r="C85" i="4"/>
  <c r="C84" i="4"/>
  <c r="J83" i="4"/>
  <c r="I83" i="4"/>
  <c r="C83" i="4"/>
  <c r="J82" i="4"/>
  <c r="I82" i="4"/>
  <c r="C82" i="4"/>
  <c r="J81" i="4"/>
  <c r="I81" i="4"/>
  <c r="C81" i="4"/>
  <c r="J80" i="4"/>
  <c r="I80" i="4"/>
  <c r="C80" i="4"/>
  <c r="J79" i="4"/>
  <c r="I79" i="4"/>
  <c r="C79" i="4"/>
  <c r="J78" i="4"/>
  <c r="I78" i="4"/>
  <c r="C78" i="4"/>
  <c r="C77" i="4"/>
  <c r="J76" i="4"/>
  <c r="I76" i="4"/>
  <c r="C76" i="4"/>
  <c r="J75" i="4"/>
  <c r="I75" i="4"/>
  <c r="C75" i="4"/>
  <c r="J74" i="4"/>
  <c r="I74" i="4"/>
  <c r="C74" i="4"/>
  <c r="J73" i="4"/>
  <c r="I73" i="4"/>
  <c r="C73" i="4"/>
  <c r="J72" i="4"/>
  <c r="I72" i="4"/>
  <c r="C72" i="4"/>
  <c r="J71" i="4"/>
  <c r="I71" i="4"/>
  <c r="C71" i="4"/>
  <c r="J70" i="4"/>
  <c r="I70" i="4"/>
  <c r="C70" i="4"/>
  <c r="C69" i="4"/>
  <c r="J68" i="4"/>
  <c r="I68" i="4"/>
  <c r="C68" i="4"/>
  <c r="J67" i="4"/>
  <c r="I67" i="4"/>
  <c r="C67" i="4"/>
  <c r="J66" i="4"/>
  <c r="I66" i="4"/>
  <c r="C66" i="4"/>
  <c r="J65" i="4"/>
  <c r="I65" i="4"/>
  <c r="C65" i="4"/>
  <c r="J64" i="4"/>
  <c r="I64" i="4"/>
  <c r="C64" i="4"/>
  <c r="J63" i="4"/>
  <c r="I63" i="4"/>
  <c r="C63" i="4"/>
  <c r="J62" i="4"/>
  <c r="I62" i="4"/>
  <c r="C62" i="4"/>
  <c r="C61" i="4"/>
  <c r="J60" i="4"/>
  <c r="I60" i="4"/>
  <c r="C60" i="4"/>
  <c r="J59" i="4"/>
  <c r="I59" i="4"/>
  <c r="C59" i="4"/>
  <c r="J58" i="4"/>
  <c r="I58" i="4"/>
  <c r="C58" i="4"/>
  <c r="J57" i="4"/>
  <c r="I57" i="4"/>
  <c r="C57" i="4"/>
  <c r="J56" i="4"/>
  <c r="I56" i="4"/>
  <c r="C56" i="4"/>
  <c r="J55" i="4"/>
  <c r="I55" i="4"/>
  <c r="C55" i="4"/>
  <c r="J54" i="4"/>
  <c r="I54" i="4"/>
  <c r="C54" i="4"/>
  <c r="C53" i="4"/>
  <c r="J52" i="4"/>
  <c r="I52" i="4"/>
  <c r="C52" i="4"/>
  <c r="J51" i="4"/>
  <c r="I51" i="4"/>
  <c r="C51" i="4"/>
  <c r="J50" i="4"/>
  <c r="I50" i="4"/>
  <c r="C50" i="4"/>
  <c r="J49" i="4"/>
  <c r="I49" i="4"/>
  <c r="C49" i="4"/>
  <c r="J48" i="4"/>
  <c r="I48" i="4"/>
  <c r="C48" i="4"/>
  <c r="J47" i="4"/>
  <c r="I47" i="4"/>
  <c r="C47" i="4"/>
  <c r="J46" i="4"/>
  <c r="I46" i="4"/>
  <c r="C46" i="4"/>
  <c r="C45" i="4"/>
  <c r="J44" i="4"/>
  <c r="I44" i="4"/>
  <c r="C44" i="4"/>
  <c r="J43" i="4"/>
  <c r="I43" i="4"/>
  <c r="C43" i="4"/>
  <c r="J42" i="4"/>
  <c r="I42" i="4"/>
  <c r="C42" i="4"/>
  <c r="J41" i="4"/>
  <c r="I41" i="4"/>
  <c r="C41" i="4"/>
  <c r="J40" i="4"/>
  <c r="I40" i="4"/>
  <c r="C40" i="4"/>
  <c r="J39" i="4"/>
  <c r="I39" i="4"/>
  <c r="C39" i="4"/>
  <c r="J38" i="4"/>
  <c r="I38" i="4"/>
  <c r="C38" i="4"/>
  <c r="C37" i="4"/>
  <c r="J36" i="4"/>
  <c r="I36" i="4"/>
  <c r="C36" i="4"/>
  <c r="J35" i="4"/>
  <c r="I35" i="4"/>
  <c r="C35" i="4"/>
  <c r="J34" i="4"/>
  <c r="I34" i="4"/>
  <c r="C34" i="4"/>
  <c r="C33" i="4"/>
  <c r="J32" i="4"/>
  <c r="I32" i="4"/>
  <c r="C32" i="4"/>
  <c r="J31" i="4"/>
  <c r="I31" i="4"/>
  <c r="C31" i="4"/>
  <c r="J30" i="4"/>
  <c r="I30" i="4"/>
  <c r="C30" i="4"/>
  <c r="J29" i="4"/>
  <c r="I29" i="4"/>
  <c r="C29" i="4"/>
  <c r="J28" i="4"/>
  <c r="I28" i="4"/>
  <c r="C28" i="4"/>
  <c r="J27" i="4"/>
  <c r="I27" i="4"/>
  <c r="C27" i="4"/>
  <c r="C26" i="4"/>
  <c r="J25" i="4"/>
  <c r="I25" i="4"/>
  <c r="C25" i="4"/>
  <c r="J24" i="4"/>
  <c r="I24" i="4"/>
  <c r="C24" i="4"/>
  <c r="J23" i="4"/>
  <c r="I23" i="4"/>
  <c r="C23" i="4"/>
  <c r="J22" i="4"/>
  <c r="I22" i="4"/>
  <c r="C22" i="4"/>
  <c r="J21" i="4"/>
  <c r="I21" i="4"/>
  <c r="C21" i="4"/>
  <c r="J20" i="4"/>
  <c r="I20" i="4"/>
  <c r="C20" i="4"/>
  <c r="J19" i="4"/>
  <c r="I19" i="4"/>
  <c r="C19" i="4"/>
  <c r="C18" i="4"/>
  <c r="J17" i="4"/>
  <c r="I17" i="4"/>
  <c r="C17" i="4"/>
  <c r="J16" i="4"/>
  <c r="I16" i="4"/>
  <c r="C16" i="4"/>
  <c r="J15" i="4"/>
  <c r="I15" i="4"/>
  <c r="C15" i="4"/>
  <c r="J14" i="4"/>
  <c r="I14" i="4"/>
  <c r="C14" i="4"/>
  <c r="J13" i="4"/>
  <c r="I13" i="4"/>
  <c r="C13" i="4"/>
  <c r="J12" i="4"/>
  <c r="I12" i="4"/>
  <c r="C12" i="4"/>
  <c r="J11" i="4"/>
  <c r="I11" i="4"/>
  <c r="C11" i="4"/>
  <c r="C10" i="4"/>
  <c r="J9" i="4"/>
  <c r="I9" i="4"/>
  <c r="C9" i="4"/>
  <c r="J8" i="4"/>
  <c r="I8" i="4"/>
  <c r="C8" i="4"/>
  <c r="J7" i="4"/>
  <c r="I7" i="4"/>
  <c r="C7" i="4"/>
  <c r="J6" i="4"/>
  <c r="I6" i="4"/>
  <c r="C6" i="4"/>
  <c r="J5" i="4"/>
  <c r="I5" i="4"/>
  <c r="C5" i="4"/>
  <c r="J4" i="4"/>
  <c r="I4" i="4"/>
  <c r="C4" i="4"/>
  <c r="J3" i="4"/>
  <c r="I3" i="4"/>
  <c r="C3" i="4"/>
  <c r="C2" i="4"/>
</calcChain>
</file>

<file path=xl/sharedStrings.xml><?xml version="1.0" encoding="utf-8"?>
<sst xmlns="http://schemas.openxmlformats.org/spreadsheetml/2006/main" count="24446" uniqueCount="939">
  <si>
    <t>Takis Duoz PopChilixSandia 1p 85gPC TIRA BAR</t>
  </si>
  <si>
    <t>Takis Cobra 70g 1p FLOW BAR</t>
  </si>
  <si>
    <t>Chips Fuego 1p 62g CP FLOW BAR</t>
  </si>
  <si>
    <t>Karameladas Pop 1p 110g FLOW BAR</t>
  </si>
  <si>
    <t>Chips Jalapeno 1p 62g CP FLOW BAR</t>
  </si>
  <si>
    <t>Takis Fajita 1p 70g FLOW BAR</t>
  </si>
  <si>
    <t>Takis Fuego 20pct Mas Picante 1p 70g FLOW BAR</t>
  </si>
  <si>
    <t>Kiyakis 1p 120g FLOW BAR</t>
  </si>
  <si>
    <t>Takis Huakamole 1p 70g FLOW BAR</t>
  </si>
  <si>
    <t>Karameladas Pop 1p 45g FLOW BAR</t>
  </si>
  <si>
    <t>Pop Sens Queso PC 1p 45g FLOW BAR</t>
  </si>
  <si>
    <t>Big Mix Fuego Nvo 1p 75g FLOW BAR</t>
  </si>
  <si>
    <t>Takis Huakamole PC 1p 240g FLOW BAR</t>
  </si>
  <si>
    <t>Valentones Fuego 1p 175g FLOW BAR</t>
  </si>
  <si>
    <t>Runners Fuego 1p 72g FLOW BAR</t>
  </si>
  <si>
    <t>Chips Papatinas Fuego PC 1p 31g FLOW BAR</t>
  </si>
  <si>
    <t>Runners Original 1p 72g FLOW BAR</t>
  </si>
  <si>
    <t>Chipotles 1p 80g FLOW BAR</t>
  </si>
  <si>
    <t>Chipotles 1p 65g FLOW BAR</t>
  </si>
  <si>
    <t>Chips Sal 1p 62g CP FLOW BAR</t>
  </si>
  <si>
    <t>Valentones 1p 175g FLOW BAR</t>
  </si>
  <si>
    <t>Big Mix Inglesa Limon 1p 75g FLOW BAR</t>
  </si>
  <si>
    <t>Chips Jalapeno Pc 1p 160g FLOW BAR</t>
  </si>
  <si>
    <t>Takis Fuego PC 1p 240g FLOW BAR</t>
  </si>
  <si>
    <t>Takis Fuego PC 1p 390g FLOW BAR</t>
  </si>
  <si>
    <t>FAT</t>
  </si>
  <si>
    <t>Chips Jalapeno 1p 170g FLOW BAR</t>
  </si>
  <si>
    <t>Takis Original 1p 80g FLOW BAR</t>
  </si>
  <si>
    <t>Takis Fuego 1p 80g FLOW BAR</t>
  </si>
  <si>
    <t>Runners Pc 1p 280g FLOW BAR</t>
  </si>
  <si>
    <t>Chicharron De Cerdo 1p 110g FLOW BAR</t>
  </si>
  <si>
    <t>Big Mix Fuego Nvo 1p 200g FLOW BAR</t>
  </si>
  <si>
    <t>Takis Fuego 1p 56g FLOW BAR</t>
  </si>
  <si>
    <t>Takis Original 1p 56g FLOW BAR</t>
  </si>
  <si>
    <t>Chips Fuego 1p 42g FLOW BAR</t>
  </si>
  <si>
    <t>Chips Jalapeno 1p 42g FLOW BAR</t>
  </si>
  <si>
    <t>Chips Sal 1p 42g FLOW BAR</t>
  </si>
  <si>
    <t>Takis Fuego 1p 200g FLOW BAR</t>
  </si>
  <si>
    <t>Big Mix Queso 1p 185g FLOW BAR</t>
  </si>
  <si>
    <t>Runners Pc 1p 80g FLOW BAR</t>
  </si>
  <si>
    <t>Takis Fuego 1p 260g FLOW BAR</t>
  </si>
  <si>
    <t>Chips Fuego 1p 240g FLOW BAR</t>
  </si>
  <si>
    <t>Chips Jalapeno 1p 240g FLOW BAR</t>
  </si>
  <si>
    <t>Chips Sal 1p 240g FLOW BAR</t>
  </si>
  <si>
    <t>Chicharron De Cerdo 1p 30g FLOW BAR</t>
  </si>
  <si>
    <t>Chips Fuego Pc 1p 160g FLOW BAR</t>
  </si>
  <si>
    <t>Chips Sal Pc 1p 160g FLOW BAR</t>
  </si>
  <si>
    <t>Chips Sal Pc 1p 150g FLOW BAR</t>
  </si>
  <si>
    <t>Chips Fuego Pc 1p 150g FLOW BAR</t>
  </si>
  <si>
    <t>Chips Jalapeno Pc 1p 150g FLOW BAR</t>
  </si>
  <si>
    <t>Takis Original PC 1p 200g FLOW BAR#</t>
  </si>
  <si>
    <t>Chips Fuego Sp Pc 1p 60g FLOW BAR</t>
  </si>
  <si>
    <t>Runners Fuego PC 1p 80g FLOW BAR</t>
  </si>
  <si>
    <t>Takis Fajitas CA 1p 80g FLOW BAR</t>
  </si>
  <si>
    <t>Chips Fuego CA 1p 100g FLOW BAR</t>
  </si>
  <si>
    <t>Chicharron Cerdo 1p 70g FLOW BAR</t>
  </si>
  <si>
    <t>Nachos 3p 2850g CJA BAR</t>
  </si>
  <si>
    <t>Mini Chips Sal Fl 1p 18g FLOW BAR</t>
  </si>
  <si>
    <t>Mini Chips Jalapeno Fl 1p 18g FLOW BAR</t>
  </si>
  <si>
    <t>Takis Fuego NE 1p 65g FLOW BAR</t>
  </si>
  <si>
    <t>Papas Barcel Adobadas PC 1p 170g FLOW BAR</t>
  </si>
  <si>
    <t>Papas Barcel Adobadas NC PC 1p 170g BOLSA BAR</t>
  </si>
  <si>
    <t>Takis Salsa Brava 1p 70g FLOW BAR</t>
  </si>
  <si>
    <t>Chips Jalapeno PC 1p 55g FLOW BAR</t>
  </si>
  <si>
    <t>Chips Sal PC 1p 55g FLOW BAR</t>
  </si>
  <si>
    <t>Chips Fuego NE 1p 46g FLOW BAR</t>
  </si>
  <si>
    <t>Pop Karameladas PC 1p 240g FLOW BAR</t>
  </si>
  <si>
    <t>Chips Papatinas Chillix PC 1p 200g FLOW BAR</t>
  </si>
  <si>
    <t>Chips Papatinas Chillix PC 1p 31g FLOW BAR</t>
  </si>
  <si>
    <t>Pop Sens Queso PC 1p 45g TIRA BAR</t>
  </si>
  <si>
    <t>Papas Barcel Toreadas PC 1p 90g FLOW BAR</t>
  </si>
  <si>
    <t>Papas Barcel Toreadas PC 1p 170g FLOW BAR</t>
  </si>
  <si>
    <t>Takis Blue Heat 1p 75g FLOW BAR</t>
  </si>
  <si>
    <t>ChipsChipotle Limon PC 1p 150g FLOW BAR</t>
  </si>
  <si>
    <t>Chips Sal 1p 170g FLOW BAR</t>
  </si>
  <si>
    <t>Chips Fuego 1p 55g FLOW BAR</t>
  </si>
  <si>
    <t>Chips Fuego 1p 170g FLOW BAR</t>
  </si>
  <si>
    <t>Chicharron Cerdo 1p 90g FLOW BAR</t>
  </si>
  <si>
    <t>Chips Fuego 1p 100g FLOW BAR</t>
  </si>
  <si>
    <t>Runners 1p 200g FLOW BAR</t>
  </si>
  <si>
    <t>Karameladas Pop 1p 120g FLOW BAR</t>
  </si>
  <si>
    <t>Chips Sal 1p 500g FLOW BAR</t>
  </si>
  <si>
    <t>Takis Blue Heat 1p 390g FLOW BAR</t>
  </si>
  <si>
    <t>Takis Blue Heat PC 1p 240g FLOW BAR</t>
  </si>
  <si>
    <t>Takis Original PC 1p 240g FLOW BAR</t>
  </si>
  <si>
    <t>Takis Fajita PC 1p 390g FLOW BAR</t>
  </si>
  <si>
    <t>Takis Original 1p 94g PC FLOW BAR</t>
  </si>
  <si>
    <t>Takis Fuego PC 1p90g FLOW BAR</t>
  </si>
  <si>
    <t>Takis Salsa Brava PC 1p 240g FLOW BAR</t>
  </si>
  <si>
    <t>Golden Nuts Enchilado 1p 110g FLOW BAR</t>
  </si>
  <si>
    <t>Golden Nuts Salado 1p 110g FLOW BAR</t>
  </si>
  <si>
    <t>Papas Barcel Sal 1p 28g FLOW BAR</t>
  </si>
  <si>
    <t>Papas Barcel Toreadas 1p 45g FLOW BAR</t>
  </si>
  <si>
    <t>Takis Blue Heat 1p 70g FLOW BAR</t>
  </si>
  <si>
    <t>Pop BlueHeat 1p 45g PC FLOW BAR</t>
  </si>
  <si>
    <t>ChipsToqueMaestroParmesano 1p 140gPC FLOW BAR</t>
  </si>
  <si>
    <t>Chips Toque Maestro SalPim 1p 140gPC FLOW BAR</t>
  </si>
  <si>
    <t>Chips Jalapeno 1p 100g FLOW BAR</t>
  </si>
  <si>
    <t>Big Mix Queso 1p 200g FLOW BAR</t>
  </si>
  <si>
    <t>Instalacion</t>
  </si>
  <si>
    <t>Fecha de Creacion</t>
  </si>
  <si>
    <t>Codigo de actividad de historial</t>
  </si>
  <si>
    <t>Historial de actividad</t>
  </si>
  <si>
    <t>Estado</t>
  </si>
  <si>
    <t>Codigo de motivo</t>
  </si>
  <si>
    <t>Codigo de bloqueo</t>
  </si>
  <si>
    <t>Ubicacion</t>
  </si>
  <si>
    <t>Numero de LPN</t>
  </si>
  <si>
    <t>Codigo de articulo</t>
  </si>
  <si>
    <t>Descripcion de articulo</t>
  </si>
  <si>
    <t>Cantidad original</t>
  </si>
  <si>
    <t>Cantidad</t>
  </si>
  <si>
    <t>Cantidad ajustada</t>
  </si>
  <si>
    <t>Fecha modificacion</t>
  </si>
  <si>
    <t>Crear usuario</t>
  </si>
  <si>
    <t>38 - Conteo ciclico de ubicacion activa finalizado</t>
  </si>
  <si>
    <t>No preparado</t>
  </si>
  <si>
    <t>Conteo Ciclico</t>
  </si>
  <si>
    <t>F-06-43-02</t>
  </si>
  <si>
    <t>mbaltazarmx</t>
  </si>
  <si>
    <t>41 - Conteo ciclico - Conteo de LPN de entrada</t>
  </si>
  <si>
    <t>F-06-42-02</t>
  </si>
  <si>
    <t>avaldezmx</t>
  </si>
  <si>
    <t>F-06-44-02</t>
  </si>
  <si>
    <t>F-06-45-03</t>
  </si>
  <si>
    <t>agomoramx</t>
  </si>
  <si>
    <t>F-06-46-03</t>
  </si>
  <si>
    <t>F-06-45-02</t>
  </si>
  <si>
    <t>F-06-46-02</t>
  </si>
  <si>
    <t>F-06-41-02</t>
  </si>
  <si>
    <t>F-06-47-02</t>
  </si>
  <si>
    <t>G-06-07-01</t>
  </si>
  <si>
    <t>gavaldesmx</t>
  </si>
  <si>
    <t>F-06-48-02</t>
  </si>
  <si>
    <t>F-06-39-02</t>
  </si>
  <si>
    <t>F-06-47-03</t>
  </si>
  <si>
    <t>F-06-49-02</t>
  </si>
  <si>
    <t>F-06-42-03</t>
  </si>
  <si>
    <t>rventoleromx</t>
  </si>
  <si>
    <t>G-06-08-01</t>
  </si>
  <si>
    <t>G-06-09-01</t>
  </si>
  <si>
    <t>F-06-48-03</t>
  </si>
  <si>
    <t>F-06-41-03</t>
  </si>
  <si>
    <t>F-06-50-02</t>
  </si>
  <si>
    <t>F-06-40-03</t>
  </si>
  <si>
    <t>F-06-40-02</t>
  </si>
  <si>
    <t>F-06-38-02</t>
  </si>
  <si>
    <t>F-06-39-03</t>
  </si>
  <si>
    <t>F-06-38-03</t>
  </si>
  <si>
    <t>F-06-51-02</t>
  </si>
  <si>
    <t>F-06-49-03</t>
  </si>
  <si>
    <t>F-06-50-03</t>
  </si>
  <si>
    <t>F-06-37-02</t>
  </si>
  <si>
    <t>F-06-52-02</t>
  </si>
  <si>
    <t>F-06-36-02</t>
  </si>
  <si>
    <t>F-06-37-03</t>
  </si>
  <si>
    <t>F-06-51-03</t>
  </si>
  <si>
    <t>F-06-36-03</t>
  </si>
  <si>
    <t>F-06-34-03</t>
  </si>
  <si>
    <t>F-06-35-03</t>
  </si>
  <si>
    <t>F-06-52-03</t>
  </si>
  <si>
    <t>F-06-46-04</t>
  </si>
  <si>
    <t>F-06-45-04</t>
  </si>
  <si>
    <t>F-06-44-04</t>
  </si>
  <si>
    <t>F-06-43-04</t>
  </si>
  <si>
    <t>F-06-35-02</t>
  </si>
  <si>
    <t>F-06-34-02</t>
  </si>
  <si>
    <t>F-06-42-04</t>
  </si>
  <si>
    <t>F-06-41-04</t>
  </si>
  <si>
    <t>F-06-40-04</t>
  </si>
  <si>
    <t>F-06-39-04</t>
  </si>
  <si>
    <t>F-06-38-04</t>
  </si>
  <si>
    <t>F-06-37-04</t>
  </si>
  <si>
    <t>F-06-36-04</t>
  </si>
  <si>
    <t>F-06-35-04</t>
  </si>
  <si>
    <t>F-06-34-04</t>
  </si>
  <si>
    <t>G-06-10-01</t>
  </si>
  <si>
    <t>G-06-11-01</t>
  </si>
  <si>
    <t>G-06-12-01</t>
  </si>
  <si>
    <t>G-06-13-01</t>
  </si>
  <si>
    <t>G-06-14-01</t>
  </si>
  <si>
    <t>G-06-15-01</t>
  </si>
  <si>
    <t>G-06-16-01</t>
  </si>
  <si>
    <t>G-06-17-01</t>
  </si>
  <si>
    <t>F-06-33-03</t>
  </si>
  <si>
    <t>G-06-18-01</t>
  </si>
  <si>
    <t>G-06-19-01</t>
  </si>
  <si>
    <t>G-06-20-01</t>
  </si>
  <si>
    <t>G-06-21-01</t>
  </si>
  <si>
    <t>G-06-22-01</t>
  </si>
  <si>
    <t>G-06-23-01</t>
  </si>
  <si>
    <t>G-06-24-01</t>
  </si>
  <si>
    <t>G-06-25-01</t>
  </si>
  <si>
    <t>F-06-32-03</t>
  </si>
  <si>
    <t>G-06-49-01</t>
  </si>
  <si>
    <t>F-06-33-04</t>
  </si>
  <si>
    <t>G-06-48-01</t>
  </si>
  <si>
    <t>F-06-33-02</t>
  </si>
  <si>
    <t>F-06-31-03</t>
  </si>
  <si>
    <t>F-06-32-04</t>
  </si>
  <si>
    <t>F-06-31-04</t>
  </si>
  <si>
    <t>G-06-47-01</t>
  </si>
  <si>
    <t>G-06-46-01</t>
  </si>
  <si>
    <t>F-06-32-02</t>
  </si>
  <si>
    <t>F-06-31-02</t>
  </si>
  <si>
    <t>F-06-29-03</t>
  </si>
  <si>
    <t>F-06-30-04</t>
  </si>
  <si>
    <t>F-06-29-04</t>
  </si>
  <si>
    <t>F-06-30-03</t>
  </si>
  <si>
    <t>F-06-15-02</t>
  </si>
  <si>
    <t>F-06-14-02</t>
  </si>
  <si>
    <t>F-06-13-02</t>
  </si>
  <si>
    <t>F-06-12-02</t>
  </si>
  <si>
    <t>F-06-20-02</t>
  </si>
  <si>
    <t>F-06-19-02</t>
  </si>
  <si>
    <t>F-06-21-02</t>
  </si>
  <si>
    <t>F-06-11-02</t>
  </si>
  <si>
    <t>F-06-18-02</t>
  </si>
  <si>
    <t>F-06-17-02</t>
  </si>
  <si>
    <t>F-06-16-02</t>
  </si>
  <si>
    <t>40 - LPN de entrada perdida</t>
  </si>
  <si>
    <t>LOST</t>
  </si>
  <si>
    <t>F-06-22-02</t>
  </si>
  <si>
    <t>F-06-23-02</t>
  </si>
  <si>
    <t>F-06-24-02</t>
  </si>
  <si>
    <t>F-06-25-02</t>
  </si>
  <si>
    <t>F-06-26-02</t>
  </si>
  <si>
    <t>F-06-27-02</t>
  </si>
  <si>
    <t>F-06-28-02</t>
  </si>
  <si>
    <t>F-06-10-02</t>
  </si>
  <si>
    <t>F-06-09-02</t>
  </si>
  <si>
    <t>43 - Conteo ciclico - LPN de entrada asignada no contada</t>
  </si>
  <si>
    <t>F-06-15-03</t>
  </si>
  <si>
    <t>F-06-16-03</t>
  </si>
  <si>
    <t>F-06-17-03</t>
  </si>
  <si>
    <t>F-06-18-03</t>
  </si>
  <si>
    <t>F-06-19-03</t>
  </si>
  <si>
    <t>F-06-14-03</t>
  </si>
  <si>
    <t>F-06-08-02</t>
  </si>
  <si>
    <t>F-06-07-02</t>
  </si>
  <si>
    <t>F-06-13-03</t>
  </si>
  <si>
    <t>F-06-28-04</t>
  </si>
  <si>
    <t>F-06-20-03</t>
  </si>
  <si>
    <t>F-06-21-03</t>
  </si>
  <si>
    <t>F-06-27-04</t>
  </si>
  <si>
    <t>F-06-26-04</t>
  </si>
  <si>
    <t>F-06-25-04</t>
  </si>
  <si>
    <t>F-06-24-04</t>
  </si>
  <si>
    <t>F-06-23-04</t>
  </si>
  <si>
    <t>F-06-22-04</t>
  </si>
  <si>
    <t>F-06-22-03</t>
  </si>
  <si>
    <t>F-06-06-02</t>
  </si>
  <si>
    <t>F-06-23-03</t>
  </si>
  <si>
    <t>F-06-12-03</t>
  </si>
  <si>
    <t>F-06-21-04</t>
  </si>
  <si>
    <t>F-06-20-04</t>
  </si>
  <si>
    <t>F-06-11-03</t>
  </si>
  <si>
    <t>F-06-24-03</t>
  </si>
  <si>
    <t>F-06-05-02</t>
  </si>
  <si>
    <t>F-06-19-04</t>
  </si>
  <si>
    <t>F-06-18-04</t>
  </si>
  <si>
    <t>F-06-17-04</t>
  </si>
  <si>
    <t>F-06-16-04</t>
  </si>
  <si>
    <t>F-06-10-03</t>
  </si>
  <si>
    <t>F-06-25-03</t>
  </si>
  <si>
    <t>F-06-09-03</t>
  </si>
  <si>
    <t>F-06-15-04</t>
  </si>
  <si>
    <t>F-06-08-03</t>
  </si>
  <si>
    <t>F-06-26-03</t>
  </si>
  <si>
    <t>F-06-14-04</t>
  </si>
  <si>
    <t>F-06-13-04</t>
  </si>
  <si>
    <t>F-06-04-02</t>
  </si>
  <si>
    <t>F-06-07-03</t>
  </si>
  <si>
    <t>F-06-03-02</t>
  </si>
  <si>
    <t>F-06-12-04</t>
  </si>
  <si>
    <t>F-06-27-03</t>
  </si>
  <si>
    <t>F-06-06-03</t>
  </si>
  <si>
    <t>F-06-02-02</t>
  </si>
  <si>
    <t>F-06-05-03</t>
  </si>
  <si>
    <t>F-06-01-02</t>
  </si>
  <si>
    <t>F-06-04-03</t>
  </si>
  <si>
    <t>F-06-28-03</t>
  </si>
  <si>
    <t>F-06-03-03</t>
  </si>
  <si>
    <t>G-06-42-02</t>
  </si>
  <si>
    <t>G-06-43-02</t>
  </si>
  <si>
    <t>G-06-41-02</t>
  </si>
  <si>
    <t>G-06-40-02</t>
  </si>
  <si>
    <t>G-06-49-03</t>
  </si>
  <si>
    <t>G-06-39-03</t>
  </si>
  <si>
    <t>G-06-39-02</t>
  </si>
  <si>
    <t>G-06-44-02</t>
  </si>
  <si>
    <t>G-06-45-02</t>
  </si>
  <si>
    <t>G-06-38-02</t>
  </si>
  <si>
    <t>G-06-46-02</t>
  </si>
  <si>
    <t>G-06-47-02</t>
  </si>
  <si>
    <t>G-06-48-02</t>
  </si>
  <si>
    <t>G-06-37-02</t>
  </si>
  <si>
    <t>G-06-49-02</t>
  </si>
  <si>
    <t>G-06-36-02</t>
  </si>
  <si>
    <t>G-06-40-03</t>
  </si>
  <si>
    <t>G-06-41-03</t>
  </si>
  <si>
    <t>G-06-42-03</t>
  </si>
  <si>
    <t>G-06-43-03</t>
  </si>
  <si>
    <t>G-06-43-04</t>
  </si>
  <si>
    <t>G-06-42-04</t>
  </si>
  <si>
    <t>G-06-35-02</t>
  </si>
  <si>
    <t>G-06-41-04</t>
  </si>
  <si>
    <t>G-06-40-04</t>
  </si>
  <si>
    <t>G-06-34-02</t>
  </si>
  <si>
    <t>G-06-38-03</t>
  </si>
  <si>
    <t>G-06-33-02</t>
  </si>
  <si>
    <t>G-06-37-03</t>
  </si>
  <si>
    <t>G-06-44-03</t>
  </si>
  <si>
    <t>G-06-45-03</t>
  </si>
  <si>
    <t>G-06-32-02</t>
  </si>
  <si>
    <t>G-06-45-01</t>
  </si>
  <si>
    <t>G-06-44-01</t>
  </si>
  <si>
    <t>G-06-31-02</t>
  </si>
  <si>
    <t>G-06-36-03</t>
  </si>
  <si>
    <t>G-06-46-03</t>
  </si>
  <si>
    <t>G-06-43-01</t>
  </si>
  <si>
    <t>G-06-42-01</t>
  </si>
  <si>
    <t>G-06-41-01</t>
  </si>
  <si>
    <t>G-06-40-01</t>
  </si>
  <si>
    <t>G-06-39-01</t>
  </si>
  <si>
    <t>G-06-38-01</t>
  </si>
  <si>
    <t>G-06-37-01</t>
  </si>
  <si>
    <t>G-06-36-01</t>
  </si>
  <si>
    <t>G-06-35-01</t>
  </si>
  <si>
    <t>G-06-34-01</t>
  </si>
  <si>
    <t>G-06-33-01</t>
  </si>
  <si>
    <t>G-06-32-01</t>
  </si>
  <si>
    <t>G-06-31-01</t>
  </si>
  <si>
    <t>G-06-30-01</t>
  </si>
  <si>
    <t>G-06-29-01</t>
  </si>
  <si>
    <t>G-06-30-02</t>
  </si>
  <si>
    <t>G-06-28-01</t>
  </si>
  <si>
    <t>G-06-47-03</t>
  </si>
  <si>
    <t>G-06-38-04</t>
  </si>
  <si>
    <t>G-06-37-04</t>
  </si>
  <si>
    <t>G-06-35-03</t>
  </si>
  <si>
    <t>G-06-29-02</t>
  </si>
  <si>
    <t>G-06-28-02</t>
  </si>
  <si>
    <t>G-06-34-03</t>
  </si>
  <si>
    <t>G-06-33-03</t>
  </si>
  <si>
    <t>G-06-32-03</t>
  </si>
  <si>
    <t>G-06-36-04</t>
  </si>
  <si>
    <t>G-06-35-04</t>
  </si>
  <si>
    <t>G-06-31-03</t>
  </si>
  <si>
    <t>G-06-24-02</t>
  </si>
  <si>
    <t>G-06-19-02</t>
  </si>
  <si>
    <t>G-06-20-02</t>
  </si>
  <si>
    <t>NG-16-13-01</t>
  </si>
  <si>
    <t>lfhernandezmx</t>
  </si>
  <si>
    <t>NG-16-14-01</t>
  </si>
  <si>
    <t>NG-16-15-01</t>
  </si>
  <si>
    <t>NG-16-16-01</t>
  </si>
  <si>
    <t>NG-16-17-01</t>
  </si>
  <si>
    <t>NG-16-18-01</t>
  </si>
  <si>
    <t>NG-16-19-01</t>
  </si>
  <si>
    <t>NG-16-20-01</t>
  </si>
  <si>
    <t>NG-16-21-01</t>
  </si>
  <si>
    <t>NG-16-22-01</t>
  </si>
  <si>
    <t>G-06-23-02</t>
  </si>
  <si>
    <t>NG-16-23-01</t>
  </si>
  <si>
    <t>NG-16-24-01</t>
  </si>
  <si>
    <t>NG-16-25-01</t>
  </si>
  <si>
    <t>NG-16-26-01</t>
  </si>
  <si>
    <t>NG-16-27-01</t>
  </si>
  <si>
    <t>NG-16-28-01</t>
  </si>
  <si>
    <t>G-06-34-04</t>
  </si>
  <si>
    <t>NG-16-29-01</t>
  </si>
  <si>
    <t>G-06-33-04</t>
  </si>
  <si>
    <t>G-06-30-03</t>
  </si>
  <si>
    <t>G-06-29-03</t>
  </si>
  <si>
    <t>G-06-32-04</t>
  </si>
  <si>
    <t>G-06-31-04</t>
  </si>
  <si>
    <t>G-06-28-03</t>
  </si>
  <si>
    <t>G-06-27-03</t>
  </si>
  <si>
    <t>G-06-25-02</t>
  </si>
  <si>
    <t>G-06-17-02</t>
  </si>
  <si>
    <t>G-06-18-02</t>
  </si>
  <si>
    <t>G-06-16-02</t>
  </si>
  <si>
    <t>NJ-22-01-01</t>
  </si>
  <si>
    <t>NJ-22-02-01</t>
  </si>
  <si>
    <t>NJ-22-03-01</t>
  </si>
  <si>
    <t>G-06-15-02</t>
  </si>
  <si>
    <t>G-06-21-02</t>
  </si>
  <si>
    <t>G-06-22-02</t>
  </si>
  <si>
    <t>G-06-14-02</t>
  </si>
  <si>
    <t>G-06-13-02</t>
  </si>
  <si>
    <t>G-06-03-01</t>
  </si>
  <si>
    <t>ajnavamx</t>
  </si>
  <si>
    <t>G-06-30-04</t>
  </si>
  <si>
    <t>G-06-29-04</t>
  </si>
  <si>
    <t>G-06-28-04</t>
  </si>
  <si>
    <t>G-06-27-04</t>
  </si>
  <si>
    <t>G-06-26-04</t>
  </si>
  <si>
    <t>G-06-13-03</t>
  </si>
  <si>
    <t>NJ-22-04-01</t>
  </si>
  <si>
    <t>NJ-22-05-01</t>
  </si>
  <si>
    <t>NJ-22-06-01</t>
  </si>
  <si>
    <t>NJ-22-07-01</t>
  </si>
  <si>
    <t>NJ-22-08-01</t>
  </si>
  <si>
    <t>G-06-14-03</t>
  </si>
  <si>
    <t>NJ-22-09-01</t>
  </si>
  <si>
    <t>NJ-22-10-01</t>
  </si>
  <si>
    <t>NJ-22-11-01</t>
  </si>
  <si>
    <t>NJ-22-12-01</t>
  </si>
  <si>
    <t>NJ-22-13-01</t>
  </si>
  <si>
    <t>NJ-22-14-01</t>
  </si>
  <si>
    <t>NJ-22-15-01</t>
  </si>
  <si>
    <t>NJ-22-16-01</t>
  </si>
  <si>
    <t>NJ-22-17-01</t>
  </si>
  <si>
    <t>NJ-22-18-01</t>
  </si>
  <si>
    <t>NJ-22-19-01</t>
  </si>
  <si>
    <t>NJ-22-20-01</t>
  </si>
  <si>
    <t>NJ-22-21-01</t>
  </si>
  <si>
    <t>NJ-22-22-01</t>
  </si>
  <si>
    <t>NJ-22-23-01</t>
  </si>
  <si>
    <t>NJ-22-24-01</t>
  </si>
  <si>
    <t>NJ-22-25-01</t>
  </si>
  <si>
    <t>NJ-22-26-01</t>
  </si>
  <si>
    <t>NJ-22-27-01</t>
  </si>
  <si>
    <t>NJ-22-28-01</t>
  </si>
  <si>
    <t>NJ-22-29-01</t>
  </si>
  <si>
    <t>NJ-22-30-01</t>
  </si>
  <si>
    <t>NJ-22-31-01</t>
  </si>
  <si>
    <t>NJ-22-32-01</t>
  </si>
  <si>
    <t>NJ-22-33-01</t>
  </si>
  <si>
    <t>NJ-22-34-01</t>
  </si>
  <si>
    <t>NJ-22-35-01</t>
  </si>
  <si>
    <t>NJ-22-36-01</t>
  </si>
  <si>
    <t>NJ-22-37-01</t>
  </si>
  <si>
    <t>NJ-22-38-01</t>
  </si>
  <si>
    <t>NJ-22-39-01</t>
  </si>
  <si>
    <t>NJ-22-40-01</t>
  </si>
  <si>
    <t>NJ-22-41-01</t>
  </si>
  <si>
    <t>NJ-22-42-01</t>
  </si>
  <si>
    <t>NJ-22-43-01</t>
  </si>
  <si>
    <t>NJ-22-44-01</t>
  </si>
  <si>
    <t>NJ-22-45-01</t>
  </si>
  <si>
    <t>NJ-22-46-01</t>
  </si>
  <si>
    <t>NJ-22-47-01</t>
  </si>
  <si>
    <t>NJ-22-48-01</t>
  </si>
  <si>
    <t>NJ-22-49-01</t>
  </si>
  <si>
    <t>NJ-22-50-01</t>
  </si>
  <si>
    <t>NJ-22-51-01</t>
  </si>
  <si>
    <t>NJ-22-52-01</t>
  </si>
  <si>
    <t>NJ-22-53-01</t>
  </si>
  <si>
    <t>NJ-22-54-01</t>
  </si>
  <si>
    <t>NJ-22-55-01</t>
  </si>
  <si>
    <t>NJ-22-56-01</t>
  </si>
  <si>
    <t>NJ-22-57-01</t>
  </si>
  <si>
    <t>NJ-22-58-01</t>
  </si>
  <si>
    <t>NJ-22-59-01</t>
  </si>
  <si>
    <t>NJ-22-60-01</t>
  </si>
  <si>
    <t>NJ-22-61-01</t>
  </si>
  <si>
    <t>NJ-22-62-01</t>
  </si>
  <si>
    <t>NJ-22-63-01</t>
  </si>
  <si>
    <t>NJ-22-64-01</t>
  </si>
  <si>
    <t>NJ-22-65-01</t>
  </si>
  <si>
    <t>NJ-22-66-01</t>
  </si>
  <si>
    <t>NJ-22-67-01</t>
  </si>
  <si>
    <t>NJ-22-68-01</t>
  </si>
  <si>
    <t>I-08-28-03</t>
  </si>
  <si>
    <t>asanchezrmx</t>
  </si>
  <si>
    <t>39 - Conteo ciclico - Conteo de LPN de entrada perdida</t>
  </si>
  <si>
    <t>G-06-01-03</t>
  </si>
  <si>
    <t>A-01-19-01</t>
  </si>
  <si>
    <t>vortegamx</t>
  </si>
  <si>
    <t>A-01-13-01</t>
  </si>
  <si>
    <t>NH-18-40-01</t>
  </si>
  <si>
    <t>mgonzalezvmx</t>
  </si>
  <si>
    <t>NH-18-39-01</t>
  </si>
  <si>
    <t>NH-18-38-01</t>
  </si>
  <si>
    <t>NH-18-37-01</t>
  </si>
  <si>
    <t>NH-18-36-01</t>
  </si>
  <si>
    <t>NH-18-35-01</t>
  </si>
  <si>
    <t>NH-18-34-01</t>
  </si>
  <si>
    <t>NH-18-33-01</t>
  </si>
  <si>
    <t>NH-18-32-01</t>
  </si>
  <si>
    <t>NH-18-31-01</t>
  </si>
  <si>
    <t>NH-18-30-01</t>
  </si>
  <si>
    <t>NH-18-29-01</t>
  </si>
  <si>
    <t>NH-18-28-01</t>
  </si>
  <si>
    <t>NH-18-27-01</t>
  </si>
  <si>
    <t>NH-18-26-01</t>
  </si>
  <si>
    <t>NH-18-25-01</t>
  </si>
  <si>
    <t>NH-18-24-01</t>
  </si>
  <si>
    <t>NH-18-23-01</t>
  </si>
  <si>
    <t>NH-18-22-01</t>
  </si>
  <si>
    <t>NH-18-21-01</t>
  </si>
  <si>
    <t>NH-18-20-01</t>
  </si>
  <si>
    <t>NH-18-19-01</t>
  </si>
  <si>
    <t>G-06-11-03</t>
  </si>
  <si>
    <t>G-06-10-03</t>
  </si>
  <si>
    <t>G-06-17-03</t>
  </si>
  <si>
    <t>G-06-18-03</t>
  </si>
  <si>
    <t>G-06-19-03</t>
  </si>
  <si>
    <t>G-06-12-02</t>
  </si>
  <si>
    <t>G-06-09-03</t>
  </si>
  <si>
    <t>G-06-20-03</t>
  </si>
  <si>
    <t>G-06-08-03</t>
  </si>
  <si>
    <t>G-06-20-04</t>
  </si>
  <si>
    <t>G-06-11-02</t>
  </si>
  <si>
    <t>G-06-19-04</t>
  </si>
  <si>
    <t>G-06-21-03</t>
  </si>
  <si>
    <t>G-06-10-02</t>
  </si>
  <si>
    <t>G-06-18-04</t>
  </si>
  <si>
    <t>G-06-17-04</t>
  </si>
  <si>
    <t>G-06-22-03</t>
  </si>
  <si>
    <t>G-06-16-04</t>
  </si>
  <si>
    <t>G-06-07-03</t>
  </si>
  <si>
    <t>G-06-09-02</t>
  </si>
  <si>
    <t>G-06-15-04</t>
  </si>
  <si>
    <t>G-06-08-02</t>
  </si>
  <si>
    <t>G-06-06-03</t>
  </si>
  <si>
    <t>G-06-07-02</t>
  </si>
  <si>
    <t>G-06-06-02</t>
  </si>
  <si>
    <t>G-06-23-03</t>
  </si>
  <si>
    <t>G-06-05-03</t>
  </si>
  <si>
    <t>G-06-24-03</t>
  </si>
  <si>
    <t>G-06-05-02</t>
  </si>
  <si>
    <t>G-06-21-04</t>
  </si>
  <si>
    <t>G-06-04-03</t>
  </si>
  <si>
    <t>G-06-04-02</t>
  </si>
  <si>
    <t>G-06-22-04</t>
  </si>
  <si>
    <t>G-06-23-04</t>
  </si>
  <si>
    <t>G-06-03-02</t>
  </si>
  <si>
    <t>G-06-24-04</t>
  </si>
  <si>
    <t>G-06-03-03</t>
  </si>
  <si>
    <t>G-06-02-04</t>
  </si>
  <si>
    <t>G-06-14-04</t>
  </si>
  <si>
    <t>G-06-13-04</t>
  </si>
  <si>
    <t>G-06-25-03</t>
  </si>
  <si>
    <t>G-06-12-04</t>
  </si>
  <si>
    <t>G-06-25-04</t>
  </si>
  <si>
    <t>G-06-11-04</t>
  </si>
  <si>
    <t>G-06-10-04</t>
  </si>
  <si>
    <t>G-06-02-03</t>
  </si>
  <si>
    <t>H-08-12-01</t>
  </si>
  <si>
    <t>H-08-10-01</t>
  </si>
  <si>
    <t>H-08-09-01</t>
  </si>
  <si>
    <t>H-08-08-01</t>
  </si>
  <si>
    <t>H-08-07-01</t>
  </si>
  <si>
    <t>I-08-20-01</t>
  </si>
  <si>
    <t>H-08-06-01</t>
  </si>
  <si>
    <t>I-08-21-01</t>
  </si>
  <si>
    <t>I-08-22-01</t>
  </si>
  <si>
    <t>I-08-23-01</t>
  </si>
  <si>
    <t>I-08-24-01</t>
  </si>
  <si>
    <t>I-08-25-01</t>
  </si>
  <si>
    <t>I-08-26-01</t>
  </si>
  <si>
    <t>H-08-05-01</t>
  </si>
  <si>
    <t>H-08-11-01</t>
  </si>
  <si>
    <t>H-08-13-01</t>
  </si>
  <si>
    <t>H-08-14-01</t>
  </si>
  <si>
    <t>H-08-15-01</t>
  </si>
  <si>
    <t>I-08-12-01</t>
  </si>
  <si>
    <t>I-08-11-01</t>
  </si>
  <si>
    <t>I-08-10-01</t>
  </si>
  <si>
    <t>I-08-09-01</t>
  </si>
  <si>
    <t>I-08-19-01</t>
  </si>
  <si>
    <t>I-08-18-01</t>
  </si>
  <si>
    <t>I-08-17-01</t>
  </si>
  <si>
    <t>I-08-08-01</t>
  </si>
  <si>
    <t>I-08-16-01</t>
  </si>
  <si>
    <t>I-08-15-01</t>
  </si>
  <si>
    <t>I-08-14-01</t>
  </si>
  <si>
    <t>I-08-07-01</t>
  </si>
  <si>
    <t>H-08-17-01</t>
  </si>
  <si>
    <t>H-08-16-01</t>
  </si>
  <si>
    <t>H-08-18-01</t>
  </si>
  <si>
    <t>H-08-19-01</t>
  </si>
  <si>
    <t>H-08-20-01</t>
  </si>
  <si>
    <t>H-08-21-01</t>
  </si>
  <si>
    <t>H-08-22-01</t>
  </si>
  <si>
    <t>H-08-23-01</t>
  </si>
  <si>
    <t>H-08-04-01</t>
  </si>
  <si>
    <t>I-08-06-01</t>
  </si>
  <si>
    <t>I-08-05-01</t>
  </si>
  <si>
    <t>H-08-46-01</t>
  </si>
  <si>
    <t>H-08-47-01</t>
  </si>
  <si>
    <t>H-08-48-01</t>
  </si>
  <si>
    <t>H-08-03-01</t>
  </si>
  <si>
    <t>H-08-45-01</t>
  </si>
  <si>
    <t>I-08-04-01</t>
  </si>
  <si>
    <t>I-08-03-01</t>
  </si>
  <si>
    <t>H-08-49-01</t>
  </si>
  <si>
    <t>H-08-44-01</t>
  </si>
  <si>
    <t>H-08-24-01</t>
  </si>
  <si>
    <t>H-08-25-01</t>
  </si>
  <si>
    <t>H-08-38-01</t>
  </si>
  <si>
    <t>I-08-02-01</t>
  </si>
  <si>
    <t>I-08-01-01</t>
  </si>
  <si>
    <t>H-08-43-01</t>
  </si>
  <si>
    <t>H-08-42-01</t>
  </si>
  <si>
    <t>H-08-41-01</t>
  </si>
  <si>
    <t>H-08-40-01</t>
  </si>
  <si>
    <t>H-08-39-01</t>
  </si>
  <si>
    <t>H-08-37-01</t>
  </si>
  <si>
    <t>H-08-36-01</t>
  </si>
  <si>
    <t>H-08-35-01</t>
  </si>
  <si>
    <t>H-08-34-01</t>
  </si>
  <si>
    <t>H-08-33-01</t>
  </si>
  <si>
    <t>H-08-32-01</t>
  </si>
  <si>
    <t>H-08-31-01</t>
  </si>
  <si>
    <t>H-08-30-01</t>
  </si>
  <si>
    <t>H-08-29-01</t>
  </si>
  <si>
    <t>H-08-28-01</t>
  </si>
  <si>
    <t>H-08-44-02</t>
  </si>
  <si>
    <t>H-08-43-02</t>
  </si>
  <si>
    <t>H-08-45-02</t>
  </si>
  <si>
    <t>H-08-42-02</t>
  </si>
  <si>
    <t>H-08-46-02</t>
  </si>
  <si>
    <t>H-08-36-02</t>
  </si>
  <si>
    <t>H-08-47-02</t>
  </si>
  <si>
    <t>H-08-38-02</t>
  </si>
  <si>
    <t>H-08-37-02</t>
  </si>
  <si>
    <t>H-08-48-02</t>
  </si>
  <si>
    <t>H-08-41-02</t>
  </si>
  <si>
    <t>H-08-35-02</t>
  </si>
  <si>
    <t>H-08-49-02</t>
  </si>
  <si>
    <t>H-08-40-02</t>
  </si>
  <si>
    <t>H-08-40-03</t>
  </si>
  <si>
    <t>H-08-41-03</t>
  </si>
  <si>
    <t>H-08-42-03</t>
  </si>
  <si>
    <t>H-08-43-03</t>
  </si>
  <si>
    <t>H-08-44-03</t>
  </si>
  <si>
    <t>H-08-39-03</t>
  </si>
  <si>
    <t>H-08-45-03</t>
  </si>
  <si>
    <t>H-08-38-03</t>
  </si>
  <si>
    <t>H-08-34-02</t>
  </si>
  <si>
    <t>H-08-37-03</t>
  </si>
  <si>
    <t>H-08-33-02</t>
  </si>
  <si>
    <t>H-08-32-02</t>
  </si>
  <si>
    <t>H-08-36-03</t>
  </si>
  <si>
    <t>H-08-35-03</t>
  </si>
  <si>
    <t>H-08-31-02</t>
  </si>
  <si>
    <t>H-08-33-04</t>
  </si>
  <si>
    <t>H-08-34-04</t>
  </si>
  <si>
    <t>H-08-46-03</t>
  </si>
  <si>
    <t>H-08-32-04</t>
  </si>
  <si>
    <t>H-08-35-04</t>
  </si>
  <si>
    <t>H-08-30-02</t>
  </si>
  <si>
    <t>H-08-34-03</t>
  </si>
  <si>
    <t>H-08-31-04</t>
  </si>
  <si>
    <t>H-08-29-02</t>
  </si>
  <si>
    <t>H-08-36-04</t>
  </si>
  <si>
    <t>H-08-33-03</t>
  </si>
  <si>
    <t>H-08-30-04</t>
  </si>
  <si>
    <t>H-08-37-04</t>
  </si>
  <si>
    <t>H-08-38-04</t>
  </si>
  <si>
    <t>H-08-47-03</t>
  </si>
  <si>
    <t>H-08-32-03</t>
  </si>
  <si>
    <t>H-08-29-04</t>
  </si>
  <si>
    <t>H-08-31-03</t>
  </si>
  <si>
    <t>H-08-39-04</t>
  </si>
  <si>
    <t>H-08-43-04</t>
  </si>
  <si>
    <t>H-08-42-04</t>
  </si>
  <si>
    <t>H-08-28-04</t>
  </si>
  <si>
    <t>H-08-30-03</t>
  </si>
  <si>
    <t>H-08-41-04</t>
  </si>
  <si>
    <t>H-08-48-03</t>
  </si>
  <si>
    <t>H-08-27-04</t>
  </si>
  <si>
    <t>H-08-40-04</t>
  </si>
  <si>
    <t>H-08-29-03</t>
  </si>
  <si>
    <t>H-08-28-03</t>
  </si>
  <si>
    <t>H-08-27-03</t>
  </si>
  <si>
    <t>H-08-26-03</t>
  </si>
  <si>
    <t>H-08-49-03</t>
  </si>
  <si>
    <t>H-08-28-02</t>
  </si>
  <si>
    <t>H-08-21-02</t>
  </si>
  <si>
    <t>H-08-22-02</t>
  </si>
  <si>
    <t>H-08-15-02</t>
  </si>
  <si>
    <t>H-08-20-02</t>
  </si>
  <si>
    <t>H-08-19-02</t>
  </si>
  <si>
    <t>H-08-16-02</t>
  </si>
  <si>
    <t>H-08-18-02</t>
  </si>
  <si>
    <t>H-08-17-02</t>
  </si>
  <si>
    <t>H-08-23-02</t>
  </si>
  <si>
    <t>H-08-14-02</t>
  </si>
  <si>
    <t>H-08-24-02</t>
  </si>
  <si>
    <t>H-08-13-02</t>
  </si>
  <si>
    <t>H-08-25-02</t>
  </si>
  <si>
    <t>H-08-12-02</t>
  </si>
  <si>
    <t>H-08-12-03</t>
  </si>
  <si>
    <t>H-08-11-02</t>
  </si>
  <si>
    <t>H-08-13-03</t>
  </si>
  <si>
    <t>H-08-10-02</t>
  </si>
  <si>
    <t>H-08-14-03</t>
  </si>
  <si>
    <t>H-08-11-03</t>
  </si>
  <si>
    <t>H-08-15-03</t>
  </si>
  <si>
    <t>H-08-10-03</t>
  </si>
  <si>
    <t>H-08-16-03</t>
  </si>
  <si>
    <t>H-08-17-04</t>
  </si>
  <si>
    <t>H-08-09-02</t>
  </si>
  <si>
    <t>Big MixÂ Inglesa Limon 1p 185g FLOW BAR</t>
  </si>
  <si>
    <t>H-08-08-02</t>
  </si>
  <si>
    <t>H-08-17-03</t>
  </si>
  <si>
    <t>H-08-18-03</t>
  </si>
  <si>
    <t>H-08-19-03</t>
  </si>
  <si>
    <t>H-08-18-04</t>
  </si>
  <si>
    <t>H-08-09-03</t>
  </si>
  <si>
    <t>H-08-08-03</t>
  </si>
  <si>
    <t>H-08-20-03</t>
  </si>
  <si>
    <t>H-08-19-04</t>
  </si>
  <si>
    <t>H-08-07-02</t>
  </si>
  <si>
    <t>H-08-06-02</t>
  </si>
  <si>
    <t>H-08-07-03</t>
  </si>
  <si>
    <t>H-08-21-03</t>
  </si>
  <si>
    <t>H-08-22-03</t>
  </si>
  <si>
    <t>H-08-20-04</t>
  </si>
  <si>
    <t>H-08-05-02</t>
  </si>
  <si>
    <t>H-08-06-03</t>
  </si>
  <si>
    <t>H-08-23-03</t>
  </si>
  <si>
    <t>H-08-05-03</t>
  </si>
  <si>
    <t>H-08-04-03</t>
  </si>
  <si>
    <t>H-08-04-02</t>
  </si>
  <si>
    <t>H-08-03-02</t>
  </si>
  <si>
    <t>H-08-24-03</t>
  </si>
  <si>
    <t>H-08-21-04</t>
  </si>
  <si>
    <t>H-08-03-03</t>
  </si>
  <si>
    <t>Big MixÂ Inglesa Limon 1p 170g FLOW BAR</t>
  </si>
  <si>
    <t>H-08-01-04</t>
  </si>
  <si>
    <t>H-08-22-04</t>
  </si>
  <si>
    <t>H-08-16-04</t>
  </si>
  <si>
    <t>H-08-15-04</t>
  </si>
  <si>
    <t>H-08-14-04</t>
  </si>
  <si>
    <t>H-08-25-03</t>
  </si>
  <si>
    <t>H-08-02-04</t>
  </si>
  <si>
    <t>H-08-23-04</t>
  </si>
  <si>
    <t>H-08-13-04</t>
  </si>
  <si>
    <t>H-08-12-04</t>
  </si>
  <si>
    <t>H-08-24-04</t>
  </si>
  <si>
    <t>H-08-26-04</t>
  </si>
  <si>
    <t>H-08-11-04</t>
  </si>
  <si>
    <t>H-08-25-04</t>
  </si>
  <si>
    <t>H-08-10-04</t>
  </si>
  <si>
    <t>I-08-46-02</t>
  </si>
  <si>
    <t>H-08-09-04</t>
  </si>
  <si>
    <t>H-08-08-04</t>
  </si>
  <si>
    <t>I-08-45-02</t>
  </si>
  <si>
    <t>I-08-47-01</t>
  </si>
  <si>
    <t>I-08-48-01</t>
  </si>
  <si>
    <t>I-08-47-02</t>
  </si>
  <si>
    <t>I-08-47-03</t>
  </si>
  <si>
    <t>I-08-50-01</t>
  </si>
  <si>
    <t>I-08-49-01</t>
  </si>
  <si>
    <t>I-08-46-03</t>
  </si>
  <si>
    <t>I-08-48-03</t>
  </si>
  <si>
    <t>I-08-48-02</t>
  </si>
  <si>
    <t>I-08-45-03</t>
  </si>
  <si>
    <t>I-08-49-02</t>
  </si>
  <si>
    <t>I-08-44-03</t>
  </si>
  <si>
    <t>I-08-50-02</t>
  </si>
  <si>
    <t>I-08-43-03</t>
  </si>
  <si>
    <t>I-08-42-03</t>
  </si>
  <si>
    <t>I-08-41-03</t>
  </si>
  <si>
    <t>I-08-49-03</t>
  </si>
  <si>
    <t>I-08-50-03</t>
  </si>
  <si>
    <t>I-08-40-03</t>
  </si>
  <si>
    <t>I-08-44-02</t>
  </si>
  <si>
    <t>I-08-43-02</t>
  </si>
  <si>
    <t>I-08-42-02</t>
  </si>
  <si>
    <t>I-08-41-02</t>
  </si>
  <si>
    <t>I-08-40-02</t>
  </si>
  <si>
    <t>I-08-29-01</t>
  </si>
  <si>
    <t>I-08-30-01</t>
  </si>
  <si>
    <t>I-08-31-01</t>
  </si>
  <si>
    <t>I-08-32-01</t>
  </si>
  <si>
    <t>I-08-33-01</t>
  </si>
  <si>
    <t>I-08-34-01</t>
  </si>
  <si>
    <t>I-08-35-01</t>
  </si>
  <si>
    <t>I-08-36-01</t>
  </si>
  <si>
    <t>I-08-37-01</t>
  </si>
  <si>
    <t>I-08-38-01</t>
  </si>
  <si>
    <t>I-08-39-01</t>
  </si>
  <si>
    <t>I-08-40-01</t>
  </si>
  <si>
    <t>I-08-41-01</t>
  </si>
  <si>
    <t>I-08-42-01</t>
  </si>
  <si>
    <t>I-08-43-01</t>
  </si>
  <si>
    <t>I-08-44-01</t>
  </si>
  <si>
    <t>I-08-45-01</t>
  </si>
  <si>
    <t>I-08-46-01</t>
  </si>
  <si>
    <t>I-08-44-04</t>
  </si>
  <si>
    <t>I-08-43-04</t>
  </si>
  <si>
    <t>I-08-42-04</t>
  </si>
  <si>
    <t>I-08-41-04</t>
  </si>
  <si>
    <t>I-08-40-04</t>
  </si>
  <si>
    <t>I-08-39-04</t>
  </si>
  <si>
    <t>I-08-38-04</t>
  </si>
  <si>
    <t>I-08-37-04</t>
  </si>
  <si>
    <t>I-08-36-04</t>
  </si>
  <si>
    <t>I-08-35-04</t>
  </si>
  <si>
    <t>I-08-34-04</t>
  </si>
  <si>
    <t>I-08-38-02</t>
  </si>
  <si>
    <t>I-08-39-02</t>
  </si>
  <si>
    <t>I-08-33-04</t>
  </si>
  <si>
    <t>I-08-36-02</t>
  </si>
  <si>
    <t>I-08-32-04</t>
  </si>
  <si>
    <t>I-08-34-03</t>
  </si>
  <si>
    <t>I-08-35-03</t>
  </si>
  <si>
    <t>I-08-35-02</t>
  </si>
  <si>
    <t>I-08-31-04</t>
  </si>
  <si>
    <t>I-08-34-02</t>
  </si>
  <si>
    <t>I-08-33-03</t>
  </si>
  <si>
    <t>I-08-32-03</t>
  </si>
  <si>
    <t>I-08-31-03</t>
  </si>
  <si>
    <t>I-08-36-03</t>
  </si>
  <si>
    <t>I-08-30-04</t>
  </si>
  <si>
    <t>I-08-30-03</t>
  </si>
  <si>
    <t>I-08-37-03</t>
  </si>
  <si>
    <t>I-08-38-03</t>
  </si>
  <si>
    <t>I-08-27-04</t>
  </si>
  <si>
    <t>I-08-39-03</t>
  </si>
  <si>
    <t>I-08-30-02</t>
  </si>
  <si>
    <t>I-08-29-04</t>
  </si>
  <si>
    <t>I-08-37-02</t>
  </si>
  <si>
    <t>I-08-28-04</t>
  </si>
  <si>
    <t>I-08-33-02</t>
  </si>
  <si>
    <t>I-08-32-02</t>
  </si>
  <si>
    <t>I-08-31-02</t>
  </si>
  <si>
    <t>I-08-29-02</t>
  </si>
  <si>
    <t>I-08-29-03</t>
  </si>
  <si>
    <t>I-08-27-03</t>
  </si>
  <si>
    <t>I-08-22-02</t>
  </si>
  <si>
    <t>I-08-23-02</t>
  </si>
  <si>
    <t>I-08-26-04</t>
  </si>
  <si>
    <t>I-08-25-04</t>
  </si>
  <si>
    <t>I-08-26-02</t>
  </si>
  <si>
    <t>I-08-24-04</t>
  </si>
  <si>
    <t>I-08-21-02</t>
  </si>
  <si>
    <t>I-08-20-02</t>
  </si>
  <si>
    <t>I-08-19-02</t>
  </si>
  <si>
    <t>I-08-25-02</t>
  </si>
  <si>
    <t>I-08-23-04</t>
  </si>
  <si>
    <t>I-08-18-02</t>
  </si>
  <si>
    <t>I-08-17-02</t>
  </si>
  <si>
    <t>I-08-16-02</t>
  </si>
  <si>
    <t>I-08-24-02</t>
  </si>
  <si>
    <t>I-08-22-04</t>
  </si>
  <si>
    <t>I-08-15-02</t>
  </si>
  <si>
    <t>I-08-14-02</t>
  </si>
  <si>
    <t>I-08-21-04</t>
  </si>
  <si>
    <t>I-08-20-04</t>
  </si>
  <si>
    <t>I-08-19-04</t>
  </si>
  <si>
    <t>I-08-18-04</t>
  </si>
  <si>
    <t>I-08-17-04</t>
  </si>
  <si>
    <t>I-08-13-02</t>
  </si>
  <si>
    <t>I-08-16-04</t>
  </si>
  <si>
    <t>I-08-12-02</t>
  </si>
  <si>
    <t>I-08-11-02</t>
  </si>
  <si>
    <t>I-08-15-04</t>
  </si>
  <si>
    <t>I-08-14-04</t>
  </si>
  <si>
    <t>I-08-12-03</t>
  </si>
  <si>
    <t>I-08-13-03</t>
  </si>
  <si>
    <t>I-08-14-03</t>
  </si>
  <si>
    <t>I-08-15-03</t>
  </si>
  <si>
    <t>I-08-16-03</t>
  </si>
  <si>
    <t>I-08-17-03</t>
  </si>
  <si>
    <t>I-08-10-02</t>
  </si>
  <si>
    <t>I-08-18-03</t>
  </si>
  <si>
    <t>I-08-11-03</t>
  </si>
  <si>
    <t>I-08-10-03</t>
  </si>
  <si>
    <t>I-08-09-03</t>
  </si>
  <si>
    <t>I-08-08-03</t>
  </si>
  <si>
    <t>I-08-19-03</t>
  </si>
  <si>
    <t>I-08-20-03</t>
  </si>
  <si>
    <t>I-08-13-04</t>
  </si>
  <si>
    <t>I-08-21-03</t>
  </si>
  <si>
    <t>I-08-07-03</t>
  </si>
  <si>
    <t>I-08-22-03</t>
  </si>
  <si>
    <t>I-08-12-04</t>
  </si>
  <si>
    <t>I-08-23-03</t>
  </si>
  <si>
    <t>I-08-09-02</t>
  </si>
  <si>
    <t>I-08-08-02</t>
  </si>
  <si>
    <t>I-08-07-02</t>
  </si>
  <si>
    <t>I-08-06-02</t>
  </si>
  <si>
    <t>I-08-05-02</t>
  </si>
  <si>
    <t>I-08-06-03</t>
  </si>
  <si>
    <t>I-08-11-04</t>
  </si>
  <si>
    <t>I-08-05-03</t>
  </si>
  <si>
    <t>I-08-24-03</t>
  </si>
  <si>
    <t>I-08-25-03</t>
  </si>
  <si>
    <t>I-08-26-03</t>
  </si>
  <si>
    <t>I-08-04-03</t>
  </si>
  <si>
    <t>I-08-04-02</t>
  </si>
  <si>
    <t>I-08-03-03</t>
  </si>
  <si>
    <t>I-08-10-04</t>
  </si>
  <si>
    <t>I-08-09-04</t>
  </si>
  <si>
    <t>I-08-02-03</t>
  </si>
  <si>
    <t>I-08-01-03</t>
  </si>
  <si>
    <t>I-08-03-02</t>
  </si>
  <si>
    <t>I-08-02-02</t>
  </si>
  <si>
    <t>I-08-01-02</t>
  </si>
  <si>
    <t>D-04-13-02</t>
  </si>
  <si>
    <t>D-04-12-03</t>
  </si>
  <si>
    <t>53 - Cycle Count - Reserve SKU Counted</t>
  </si>
  <si>
    <t>Procesado</t>
  </si>
  <si>
    <t>QA-01-03-01</t>
  </si>
  <si>
    <t>D-04-12-02</t>
  </si>
  <si>
    <t>NG-16-62-01</t>
  </si>
  <si>
    <t>NG-16-61-01</t>
  </si>
  <si>
    <t>NG-16-60-01</t>
  </si>
  <si>
    <t>NG-16-59-01</t>
  </si>
  <si>
    <t>NG-16-58-01</t>
  </si>
  <si>
    <t>NG-16-57-01</t>
  </si>
  <si>
    <t>NG-16-56-01</t>
  </si>
  <si>
    <t>NG-16-55-01</t>
  </si>
  <si>
    <t>NG-16-54-01</t>
  </si>
  <si>
    <t>NG-16-53-01</t>
  </si>
  <si>
    <t>NG-16-52-01</t>
  </si>
  <si>
    <t>NG-16-51-01</t>
  </si>
  <si>
    <t>NG-16-50-01</t>
  </si>
  <si>
    <t>NG-16-49-01</t>
  </si>
  <si>
    <t>NG-16-48-01</t>
  </si>
  <si>
    <t>NG-16-47-01</t>
  </si>
  <si>
    <t>NG-16-46-01</t>
  </si>
  <si>
    <t>NG-16-45-01</t>
  </si>
  <si>
    <t>NG-16-44-01</t>
  </si>
  <si>
    <t>NG-16-43-01</t>
  </si>
  <si>
    <t>NG-16-42-01</t>
  </si>
  <si>
    <t>NG-16-41-01</t>
  </si>
  <si>
    <t>NG-16-40-01</t>
  </si>
  <si>
    <t>NG-16-39-01</t>
  </si>
  <si>
    <t>NG-16-38-01</t>
  </si>
  <si>
    <t>NG-16-37-01</t>
  </si>
  <si>
    <t>NG-16-36-01</t>
  </si>
  <si>
    <t>NG-16-35-01</t>
  </si>
  <si>
    <t>NG-16-34-01</t>
  </si>
  <si>
    <t>RunnersWatz InglesaLimon 1p 42g FLOW BAR</t>
  </si>
  <si>
    <t>19 - Inventory Adjustment - Cycle Count Active</t>
  </si>
  <si>
    <t>Ajuste Inventario</t>
  </si>
  <si>
    <t>PA-A-35-01</t>
  </si>
  <si>
    <t>D-04-42-03</t>
  </si>
  <si>
    <t>D-04-18-01</t>
  </si>
  <si>
    <t>D-04-16-01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</si>
</sst>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#0"/>
  </numFmts>
  <fonts count="7" x14ac:knownFonts="1">
    <font>
      <sz val="11"/>
      <name val="Calibri"/>
    </font>
    <font>
      <b/>
      <sz val="8"/>
      <color rgb="FFFFFFFF"/>
      <name val="Arial"/>
    </font>
    <font>
      <sz val="8"/>
      <name val="Arial"/>
    </font>
    <font>
      <b/>
      <sz val="9"/>
      <color rgb="FF263576"/>
      <name val="Arial"/>
    </font>
    <font>
      <b/>
      <sz val="9"/>
      <color rgb="FFFFFFFF"/>
      <name val="Arial"/>
    </font>
    <font>
      <b/>
      <sz val="9"/>
      <name val="Arial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357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2D7397"/>
      </right>
      <top/>
      <bottom/>
      <diagonal/>
    </border>
  </borders>
  <cellStyleXfs count="2">
    <xf numFmtId="0" fontId="0" fillId="0" borderId="0"/>
    <xf numFmtId="0" fontId="1" fillId="2" borderId="1">
      <alignment horizontal="center" vertical="center" wrapText="1"/>
    </xf>
  </cellStyleXfs>
  <cellXfs count="3">
    <xf numFmtId="0" fontId="0" fillId="0" borderId="0" xfId="0"/>
    <xf numFmtId="22" fontId="0" fillId="0" borderId="0" xfId="0" applyNumberFormat="1"/>
    <xf numFmtId="0" fontId="6" fillId="0" borderId="0" xfId="0" applyFont="1"/>
  </cellXfs>
  <cellStyles count="2">
    <cellStyle name="Normal" xfId="0" builtinId="0"/>
    <cellStyle name="wr_0" xfId="1" xr:uid="{00000000-0005-0000-0000-000006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18</xdr:row>
      <xdr:rowOff>78991</xdr:rowOff>
    </xdr:from>
    <xdr:ext cx="11208709" cy="718466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D9E9F30-143B-404D-9CD4-94FC921B2637}"/>
            </a:ext>
          </a:extLst>
        </xdr:cNvPr>
        <xdr:cNvSpPr/>
      </xdr:nvSpPr>
      <xdr:spPr>
        <a:xfrm rot="19763764">
          <a:off x="28575" y="3507991"/>
          <a:ext cx="11208709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Información Confidencial propiedad</a:t>
          </a:r>
          <a:r>
            <a:rPr lang="es-ES" sz="4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de Grupo Bimbo</a:t>
          </a:r>
          <a:endParaRPr lang="es-ES" sz="4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FFAC-1D79-4A09-B1AB-D46055E0DE5E}">
  <dimension ref="A1:P3606"/>
  <sheetViews>
    <sheetView tabSelected="1" topLeftCell="A3576" workbookViewId="0">
      <selection activeCell="D3582" sqref="D3582"/>
    </sheetView>
  </sheetViews>
  <sheetFormatPr baseColWidth="10" defaultColWidth="11.44140625" defaultRowHeight="14.4" x14ac:dyDescent="0.3"/>
  <cols>
    <col min="1" max="1" width="10.5546875" bestFit="1" customWidth="1"/>
    <col min="2" max="2" width="17.109375" bestFit="1" customWidth="1"/>
    <col min="3" max="3" width="29" bestFit="1" customWidth="1"/>
    <col min="4" max="4" width="52" bestFit="1" customWidth="1"/>
    <col min="5" max="5" width="13.44140625" bestFit="1" customWidth="1"/>
    <col min="6" max="6" width="16.5546875" bestFit="1" customWidth="1"/>
    <col min="7" max="7" width="17.88671875" bestFit="1" customWidth="1"/>
    <col min="8" max="8" width="12" bestFit="1" customWidth="1"/>
    <col min="9" max="9" width="17.6640625" bestFit="1" customWidth="1"/>
    <col min="10" max="10" width="17.109375" bestFit="1" customWidth="1"/>
    <col min="11" max="11" width="49.33203125" bestFit="1" customWidth="1"/>
    <col min="12" max="12" width="16" bestFit="1" customWidth="1"/>
    <col min="13" max="13" width="8.88671875" bestFit="1" customWidth="1"/>
    <col min="14" max="14" width="17" bestFit="1" customWidth="1"/>
    <col min="15" max="15" width="18.109375" bestFit="1" customWidth="1"/>
    <col min="16" max="16" width="14.6640625" bestFit="1" customWidth="1"/>
  </cols>
  <sheetData>
    <row r="1" spans="1:16" x14ac:dyDescent="0.3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 x14ac:dyDescent="0.3">
      <c r="A2" t="s">
        <v>25</v>
      </c>
      <c r="B2" s="1">
        <v>45583.570150462961</v>
      </c>
      <c r="C2" t="str">
        <f>"38"</f>
        <v>38</v>
      </c>
      <c r="D2" t="s">
        <v>115</v>
      </c>
      <c r="E2" t="s">
        <v>116</v>
      </c>
      <c r="F2" t="s">
        <v>117</v>
      </c>
      <c r="H2" t="s">
        <v>118</v>
      </c>
      <c r="L2">
        <v>0</v>
      </c>
      <c r="M2">
        <v>0</v>
      </c>
      <c r="N2">
        <v>0</v>
      </c>
      <c r="O2" s="1">
        <v>45583.570150462961</v>
      </c>
      <c r="P2" t="s">
        <v>119</v>
      </c>
    </row>
    <row r="3" spans="1:16" x14ac:dyDescent="0.3">
      <c r="A3" t="s">
        <v>25</v>
      </c>
      <c r="B3" s="1">
        <v>45583.570150462961</v>
      </c>
      <c r="C3" t="str">
        <f t="shared" ref="C3:C9" si="0">"41"</f>
        <v>41</v>
      </c>
      <c r="D3" t="s">
        <v>120</v>
      </c>
      <c r="E3" t="s">
        <v>116</v>
      </c>
      <c r="F3" t="s">
        <v>117</v>
      </c>
      <c r="H3" t="s">
        <v>118</v>
      </c>
      <c r="I3" t="str">
        <f>"101050002025612"</f>
        <v>101050002025612</v>
      </c>
      <c r="J3" t="str">
        <f t="shared" ref="J3:J9" si="1">"515123"</f>
        <v>515123</v>
      </c>
      <c r="K3" t="s">
        <v>19</v>
      </c>
      <c r="L3">
        <v>49</v>
      </c>
      <c r="M3">
        <v>49</v>
      </c>
      <c r="N3">
        <v>0</v>
      </c>
      <c r="O3" s="1">
        <v>45583.570150462961</v>
      </c>
      <c r="P3" t="s">
        <v>119</v>
      </c>
    </row>
    <row r="4" spans="1:16" x14ac:dyDescent="0.3">
      <c r="A4" t="s">
        <v>25</v>
      </c>
      <c r="B4" s="1">
        <v>45583.570150462961</v>
      </c>
      <c r="C4" t="str">
        <f t="shared" si="0"/>
        <v>41</v>
      </c>
      <c r="D4" t="s">
        <v>120</v>
      </c>
      <c r="E4" t="s">
        <v>116</v>
      </c>
      <c r="F4" t="s">
        <v>117</v>
      </c>
      <c r="H4" t="s">
        <v>118</v>
      </c>
      <c r="I4" t="str">
        <f>"101050002025886"</f>
        <v>101050002025886</v>
      </c>
      <c r="J4" t="str">
        <f t="shared" si="1"/>
        <v>515123</v>
      </c>
      <c r="K4" t="s">
        <v>19</v>
      </c>
      <c r="L4">
        <v>49</v>
      </c>
      <c r="M4">
        <v>49</v>
      </c>
      <c r="N4">
        <v>0</v>
      </c>
      <c r="O4" s="1">
        <v>45583.570150462961</v>
      </c>
      <c r="P4" t="s">
        <v>119</v>
      </c>
    </row>
    <row r="5" spans="1:16" x14ac:dyDescent="0.3">
      <c r="A5" t="s">
        <v>25</v>
      </c>
      <c r="B5" s="1">
        <v>45583.570150462961</v>
      </c>
      <c r="C5" t="str">
        <f t="shared" si="0"/>
        <v>41</v>
      </c>
      <c r="D5" t="s">
        <v>120</v>
      </c>
      <c r="E5" t="s">
        <v>116</v>
      </c>
      <c r="F5" t="s">
        <v>117</v>
      </c>
      <c r="H5" t="s">
        <v>118</v>
      </c>
      <c r="I5" t="str">
        <f>"101050002025868"</f>
        <v>101050002025868</v>
      </c>
      <c r="J5" t="str">
        <f t="shared" si="1"/>
        <v>515123</v>
      </c>
      <c r="K5" t="s">
        <v>19</v>
      </c>
      <c r="L5">
        <v>49</v>
      </c>
      <c r="M5">
        <v>49</v>
      </c>
      <c r="N5">
        <v>0</v>
      </c>
      <c r="O5" s="1">
        <v>45583.570150462961</v>
      </c>
      <c r="P5" t="s">
        <v>119</v>
      </c>
    </row>
    <row r="6" spans="1:16" x14ac:dyDescent="0.3">
      <c r="A6" t="s">
        <v>25</v>
      </c>
      <c r="B6" s="1">
        <v>45583.570150462961</v>
      </c>
      <c r="C6" t="str">
        <f t="shared" si="0"/>
        <v>41</v>
      </c>
      <c r="D6" t="s">
        <v>120</v>
      </c>
      <c r="E6" t="s">
        <v>116</v>
      </c>
      <c r="F6" t="s">
        <v>117</v>
      </c>
      <c r="H6" t="s">
        <v>118</v>
      </c>
      <c r="I6" t="str">
        <f>"101050002025687"</f>
        <v>101050002025687</v>
      </c>
      <c r="J6" t="str">
        <f t="shared" si="1"/>
        <v>515123</v>
      </c>
      <c r="K6" t="s">
        <v>19</v>
      </c>
      <c r="L6">
        <v>49</v>
      </c>
      <c r="M6">
        <v>49</v>
      </c>
      <c r="N6">
        <v>0</v>
      </c>
      <c r="O6" s="1">
        <v>45583.570150462961</v>
      </c>
      <c r="P6" t="s">
        <v>119</v>
      </c>
    </row>
    <row r="7" spans="1:16" x14ac:dyDescent="0.3">
      <c r="A7" t="s">
        <v>25</v>
      </c>
      <c r="B7" s="1">
        <v>45583.570150462961</v>
      </c>
      <c r="C7" t="str">
        <f t="shared" si="0"/>
        <v>41</v>
      </c>
      <c r="D7" t="s">
        <v>120</v>
      </c>
      <c r="E7" t="s">
        <v>116</v>
      </c>
      <c r="F7" t="s">
        <v>117</v>
      </c>
      <c r="H7" t="s">
        <v>118</v>
      </c>
      <c r="I7" t="str">
        <f>"101050002025887"</f>
        <v>101050002025887</v>
      </c>
      <c r="J7" t="str">
        <f t="shared" si="1"/>
        <v>515123</v>
      </c>
      <c r="K7" t="s">
        <v>19</v>
      </c>
      <c r="L7">
        <v>49</v>
      </c>
      <c r="M7">
        <v>49</v>
      </c>
      <c r="N7">
        <v>0</v>
      </c>
      <c r="O7" s="1">
        <v>45583.570150462961</v>
      </c>
      <c r="P7" t="s">
        <v>119</v>
      </c>
    </row>
    <row r="8" spans="1:16" x14ac:dyDescent="0.3">
      <c r="A8" t="s">
        <v>25</v>
      </c>
      <c r="B8" s="1">
        <v>45583.570150462961</v>
      </c>
      <c r="C8" t="str">
        <f t="shared" si="0"/>
        <v>41</v>
      </c>
      <c r="D8" t="s">
        <v>120</v>
      </c>
      <c r="E8" t="s">
        <v>116</v>
      </c>
      <c r="F8" t="s">
        <v>117</v>
      </c>
      <c r="H8" t="s">
        <v>118</v>
      </c>
      <c r="I8" t="str">
        <f>"101050002025700"</f>
        <v>101050002025700</v>
      </c>
      <c r="J8" t="str">
        <f t="shared" si="1"/>
        <v>515123</v>
      </c>
      <c r="K8" t="s">
        <v>19</v>
      </c>
      <c r="L8">
        <v>49</v>
      </c>
      <c r="M8">
        <v>49</v>
      </c>
      <c r="N8">
        <v>0</v>
      </c>
      <c r="O8" s="1">
        <v>45583.570150462961</v>
      </c>
      <c r="P8" t="s">
        <v>119</v>
      </c>
    </row>
    <row r="9" spans="1:16" x14ac:dyDescent="0.3">
      <c r="A9" t="s">
        <v>25</v>
      </c>
      <c r="B9" s="1">
        <v>45583.570138888892</v>
      </c>
      <c r="C9" t="str">
        <f t="shared" si="0"/>
        <v>41</v>
      </c>
      <c r="D9" t="s">
        <v>120</v>
      </c>
      <c r="E9" t="s">
        <v>116</v>
      </c>
      <c r="F9" t="s">
        <v>117</v>
      </c>
      <c r="H9" t="s">
        <v>118</v>
      </c>
      <c r="I9" t="str">
        <f>"101050002025698"</f>
        <v>101050002025698</v>
      </c>
      <c r="J9" t="str">
        <f t="shared" si="1"/>
        <v>515123</v>
      </c>
      <c r="K9" t="s">
        <v>19</v>
      </c>
      <c r="L9">
        <v>49</v>
      </c>
      <c r="M9">
        <v>49</v>
      </c>
      <c r="N9">
        <v>0</v>
      </c>
      <c r="O9" s="1">
        <v>45583.570138888892</v>
      </c>
      <c r="P9" t="s">
        <v>119</v>
      </c>
    </row>
    <row r="10" spans="1:16" x14ac:dyDescent="0.3">
      <c r="A10" t="s">
        <v>25</v>
      </c>
      <c r="B10" s="1">
        <v>45583.570023148146</v>
      </c>
      <c r="C10" t="str">
        <f>"38"</f>
        <v>38</v>
      </c>
      <c r="D10" t="s">
        <v>115</v>
      </c>
      <c r="E10" t="s">
        <v>116</v>
      </c>
      <c r="F10" t="s">
        <v>117</v>
      </c>
      <c r="H10" t="s">
        <v>121</v>
      </c>
      <c r="L10">
        <v>0</v>
      </c>
      <c r="M10">
        <v>0</v>
      </c>
      <c r="N10">
        <v>0</v>
      </c>
      <c r="O10" s="1">
        <v>45583.570023148146</v>
      </c>
      <c r="P10" t="s">
        <v>122</v>
      </c>
    </row>
    <row r="11" spans="1:16" x14ac:dyDescent="0.3">
      <c r="A11" t="s">
        <v>25</v>
      </c>
      <c r="B11" s="1">
        <v>45583.570023148146</v>
      </c>
      <c r="C11" t="str">
        <f t="shared" ref="C11:C17" si="2">"41"</f>
        <v>41</v>
      </c>
      <c r="D11" t="s">
        <v>120</v>
      </c>
      <c r="E11" t="s">
        <v>116</v>
      </c>
      <c r="F11" t="s">
        <v>117</v>
      </c>
      <c r="H11" t="s">
        <v>121</v>
      </c>
      <c r="I11" t="str">
        <f>"101050002026467"</f>
        <v>101050002026467</v>
      </c>
      <c r="J11" t="str">
        <f t="shared" ref="J11:J17" si="3">"515120"</f>
        <v>515120</v>
      </c>
      <c r="K11" t="s">
        <v>2</v>
      </c>
      <c r="L11">
        <v>49</v>
      </c>
      <c r="M11">
        <v>49</v>
      </c>
      <c r="N11">
        <v>0</v>
      </c>
      <c r="O11" s="1">
        <v>45583.570023148146</v>
      </c>
      <c r="P11" t="s">
        <v>122</v>
      </c>
    </row>
    <row r="12" spans="1:16" x14ac:dyDescent="0.3">
      <c r="A12" t="s">
        <v>25</v>
      </c>
      <c r="B12" s="1">
        <v>45583.570023148146</v>
      </c>
      <c r="C12" t="str">
        <f t="shared" si="2"/>
        <v>41</v>
      </c>
      <c r="D12" t="s">
        <v>120</v>
      </c>
      <c r="E12" t="s">
        <v>116</v>
      </c>
      <c r="F12" t="s">
        <v>117</v>
      </c>
      <c r="H12" t="s">
        <v>121</v>
      </c>
      <c r="I12" t="str">
        <f>"101050002025914"</f>
        <v>101050002025914</v>
      </c>
      <c r="J12" t="str">
        <f t="shared" si="3"/>
        <v>515120</v>
      </c>
      <c r="K12" t="s">
        <v>2</v>
      </c>
      <c r="L12">
        <v>49</v>
      </c>
      <c r="M12">
        <v>49</v>
      </c>
      <c r="N12">
        <v>0</v>
      </c>
      <c r="O12" s="1">
        <v>45583.570023148146</v>
      </c>
      <c r="P12" t="s">
        <v>122</v>
      </c>
    </row>
    <row r="13" spans="1:16" x14ac:dyDescent="0.3">
      <c r="A13" t="s">
        <v>25</v>
      </c>
      <c r="B13" s="1">
        <v>45583.570023148146</v>
      </c>
      <c r="C13" t="str">
        <f t="shared" si="2"/>
        <v>41</v>
      </c>
      <c r="D13" t="s">
        <v>120</v>
      </c>
      <c r="E13" t="s">
        <v>116</v>
      </c>
      <c r="F13" t="s">
        <v>117</v>
      </c>
      <c r="H13" t="s">
        <v>121</v>
      </c>
      <c r="I13" t="str">
        <f>"101050002025864"</f>
        <v>101050002025864</v>
      </c>
      <c r="J13" t="str">
        <f t="shared" si="3"/>
        <v>515120</v>
      </c>
      <c r="K13" t="s">
        <v>2</v>
      </c>
      <c r="L13">
        <v>49</v>
      </c>
      <c r="M13">
        <v>49</v>
      </c>
      <c r="N13">
        <v>0</v>
      </c>
      <c r="O13" s="1">
        <v>45583.570023148146</v>
      </c>
      <c r="P13" t="s">
        <v>122</v>
      </c>
    </row>
    <row r="14" spans="1:16" x14ac:dyDescent="0.3">
      <c r="A14" t="s">
        <v>25</v>
      </c>
      <c r="B14" s="1">
        <v>45583.570023148146</v>
      </c>
      <c r="C14" t="str">
        <f t="shared" si="2"/>
        <v>41</v>
      </c>
      <c r="D14" t="s">
        <v>120</v>
      </c>
      <c r="E14" t="s">
        <v>116</v>
      </c>
      <c r="F14" t="s">
        <v>117</v>
      </c>
      <c r="H14" t="s">
        <v>121</v>
      </c>
      <c r="I14" t="str">
        <f>"101050002025449"</f>
        <v>101050002025449</v>
      </c>
      <c r="J14" t="str">
        <f t="shared" si="3"/>
        <v>515120</v>
      </c>
      <c r="K14" t="s">
        <v>2</v>
      </c>
      <c r="L14">
        <v>49</v>
      </c>
      <c r="M14">
        <v>49</v>
      </c>
      <c r="N14">
        <v>0</v>
      </c>
      <c r="O14" s="1">
        <v>45583.570023148146</v>
      </c>
      <c r="P14" t="s">
        <v>122</v>
      </c>
    </row>
    <row r="15" spans="1:16" x14ac:dyDescent="0.3">
      <c r="A15" t="s">
        <v>25</v>
      </c>
      <c r="B15" s="1">
        <v>45583.570023148146</v>
      </c>
      <c r="C15" t="str">
        <f t="shared" si="2"/>
        <v>41</v>
      </c>
      <c r="D15" t="s">
        <v>120</v>
      </c>
      <c r="E15" t="s">
        <v>116</v>
      </c>
      <c r="F15" t="s">
        <v>117</v>
      </c>
      <c r="H15" t="s">
        <v>121</v>
      </c>
      <c r="I15" t="str">
        <f>"101050002025448"</f>
        <v>101050002025448</v>
      </c>
      <c r="J15" t="str">
        <f t="shared" si="3"/>
        <v>515120</v>
      </c>
      <c r="K15" t="s">
        <v>2</v>
      </c>
      <c r="L15">
        <v>49</v>
      </c>
      <c r="M15">
        <v>49</v>
      </c>
      <c r="N15">
        <v>0</v>
      </c>
      <c r="O15" s="1">
        <v>45583.570023148146</v>
      </c>
      <c r="P15" t="s">
        <v>122</v>
      </c>
    </row>
    <row r="16" spans="1:16" x14ac:dyDescent="0.3">
      <c r="A16" t="s">
        <v>25</v>
      </c>
      <c r="B16" s="1">
        <v>45583.570023148146</v>
      </c>
      <c r="C16" t="str">
        <f t="shared" si="2"/>
        <v>41</v>
      </c>
      <c r="D16" t="s">
        <v>120</v>
      </c>
      <c r="E16" t="s">
        <v>116</v>
      </c>
      <c r="F16" t="s">
        <v>117</v>
      </c>
      <c r="H16" t="s">
        <v>121</v>
      </c>
      <c r="I16" t="str">
        <f>"101050002025019"</f>
        <v>101050002025019</v>
      </c>
      <c r="J16" t="str">
        <f t="shared" si="3"/>
        <v>515120</v>
      </c>
      <c r="K16" t="s">
        <v>2</v>
      </c>
      <c r="L16">
        <v>49</v>
      </c>
      <c r="M16">
        <v>49</v>
      </c>
      <c r="N16">
        <v>0</v>
      </c>
      <c r="O16" s="1">
        <v>45583.570023148146</v>
      </c>
      <c r="P16" t="s">
        <v>122</v>
      </c>
    </row>
    <row r="17" spans="1:16" x14ac:dyDescent="0.3">
      <c r="A17" t="s">
        <v>25</v>
      </c>
      <c r="B17" s="1">
        <v>45583.570011574076</v>
      </c>
      <c r="C17" t="str">
        <f t="shared" si="2"/>
        <v>41</v>
      </c>
      <c r="D17" t="s">
        <v>120</v>
      </c>
      <c r="E17" t="s">
        <v>116</v>
      </c>
      <c r="F17" t="s">
        <v>117</v>
      </c>
      <c r="H17" t="s">
        <v>121</v>
      </c>
      <c r="I17" t="str">
        <f>"101050002024988"</f>
        <v>101050002024988</v>
      </c>
      <c r="J17" t="str">
        <f t="shared" si="3"/>
        <v>515120</v>
      </c>
      <c r="K17" t="s">
        <v>2</v>
      </c>
      <c r="L17">
        <v>49</v>
      </c>
      <c r="M17">
        <v>49</v>
      </c>
      <c r="N17">
        <v>0</v>
      </c>
      <c r="O17" s="1">
        <v>45583.570011574076</v>
      </c>
      <c r="P17" t="s">
        <v>122</v>
      </c>
    </row>
    <row r="18" spans="1:16" x14ac:dyDescent="0.3">
      <c r="A18" t="s">
        <v>25</v>
      </c>
      <c r="B18" s="1">
        <v>45583.568287037036</v>
      </c>
      <c r="C18" t="str">
        <f>"38"</f>
        <v>38</v>
      </c>
      <c r="D18" t="s">
        <v>115</v>
      </c>
      <c r="E18" t="s">
        <v>116</v>
      </c>
      <c r="F18" t="s">
        <v>117</v>
      </c>
      <c r="H18" t="s">
        <v>123</v>
      </c>
      <c r="L18">
        <v>0</v>
      </c>
      <c r="M18">
        <v>0</v>
      </c>
      <c r="N18">
        <v>0</v>
      </c>
      <c r="O18" s="1">
        <v>45583.568287037036</v>
      </c>
      <c r="P18" t="s">
        <v>119</v>
      </c>
    </row>
    <row r="19" spans="1:16" x14ac:dyDescent="0.3">
      <c r="A19" t="s">
        <v>25</v>
      </c>
      <c r="B19" s="1">
        <v>45583.568287037036</v>
      </c>
      <c r="C19" t="str">
        <f t="shared" ref="C19:C25" si="4">"41"</f>
        <v>41</v>
      </c>
      <c r="D19" t="s">
        <v>120</v>
      </c>
      <c r="E19" t="s">
        <v>116</v>
      </c>
      <c r="F19" t="s">
        <v>117</v>
      </c>
      <c r="H19" t="s">
        <v>123</v>
      </c>
      <c r="I19" t="str">
        <f>"101050002026727"</f>
        <v>101050002026727</v>
      </c>
      <c r="J19" t="str">
        <f t="shared" ref="J19:J25" si="5">"515123"</f>
        <v>515123</v>
      </c>
      <c r="K19" t="s">
        <v>19</v>
      </c>
      <c r="L19">
        <v>49</v>
      </c>
      <c r="M19">
        <v>49</v>
      </c>
      <c r="N19">
        <v>0</v>
      </c>
      <c r="O19" s="1">
        <v>45583.568287037036</v>
      </c>
      <c r="P19" t="s">
        <v>119</v>
      </c>
    </row>
    <row r="20" spans="1:16" x14ac:dyDescent="0.3">
      <c r="A20" t="s">
        <v>25</v>
      </c>
      <c r="B20" s="1">
        <v>45583.568287037036</v>
      </c>
      <c r="C20" t="str">
        <f t="shared" si="4"/>
        <v>41</v>
      </c>
      <c r="D20" t="s">
        <v>120</v>
      </c>
      <c r="E20" t="s">
        <v>116</v>
      </c>
      <c r="F20" t="s">
        <v>117</v>
      </c>
      <c r="H20" t="s">
        <v>123</v>
      </c>
      <c r="I20" t="str">
        <f>"101050002026957"</f>
        <v>101050002026957</v>
      </c>
      <c r="J20" t="str">
        <f t="shared" si="5"/>
        <v>515123</v>
      </c>
      <c r="K20" t="s">
        <v>19</v>
      </c>
      <c r="L20">
        <v>49</v>
      </c>
      <c r="M20">
        <v>49</v>
      </c>
      <c r="N20">
        <v>0</v>
      </c>
      <c r="O20" s="1">
        <v>45583.568287037036</v>
      </c>
      <c r="P20" t="s">
        <v>119</v>
      </c>
    </row>
    <row r="21" spans="1:16" x14ac:dyDescent="0.3">
      <c r="A21" t="s">
        <v>25</v>
      </c>
      <c r="B21" s="1">
        <v>45583.568287037036</v>
      </c>
      <c r="C21" t="str">
        <f t="shared" si="4"/>
        <v>41</v>
      </c>
      <c r="D21" t="s">
        <v>120</v>
      </c>
      <c r="E21" t="s">
        <v>116</v>
      </c>
      <c r="F21" t="s">
        <v>117</v>
      </c>
      <c r="H21" t="s">
        <v>123</v>
      </c>
      <c r="I21" t="str">
        <f>"101050002026067"</f>
        <v>101050002026067</v>
      </c>
      <c r="J21" t="str">
        <f t="shared" si="5"/>
        <v>515123</v>
      </c>
      <c r="K21" t="s">
        <v>19</v>
      </c>
      <c r="L21">
        <v>49</v>
      </c>
      <c r="M21">
        <v>49</v>
      </c>
      <c r="N21">
        <v>0</v>
      </c>
      <c r="O21" s="1">
        <v>45583.568287037036</v>
      </c>
      <c r="P21" t="s">
        <v>119</v>
      </c>
    </row>
    <row r="22" spans="1:16" x14ac:dyDescent="0.3">
      <c r="A22" t="s">
        <v>25</v>
      </c>
      <c r="B22" s="1">
        <v>45583.568287037036</v>
      </c>
      <c r="C22" t="str">
        <f t="shared" si="4"/>
        <v>41</v>
      </c>
      <c r="D22" t="s">
        <v>120</v>
      </c>
      <c r="E22" t="s">
        <v>116</v>
      </c>
      <c r="F22" t="s">
        <v>117</v>
      </c>
      <c r="H22" t="s">
        <v>123</v>
      </c>
      <c r="I22" t="str">
        <f>"101050002026205"</f>
        <v>101050002026205</v>
      </c>
      <c r="J22" t="str">
        <f t="shared" si="5"/>
        <v>515123</v>
      </c>
      <c r="K22" t="s">
        <v>19</v>
      </c>
      <c r="L22">
        <v>49</v>
      </c>
      <c r="M22">
        <v>49</v>
      </c>
      <c r="N22">
        <v>0</v>
      </c>
      <c r="O22" s="1">
        <v>45583.568287037036</v>
      </c>
      <c r="P22" t="s">
        <v>119</v>
      </c>
    </row>
    <row r="23" spans="1:16" x14ac:dyDescent="0.3">
      <c r="A23" t="s">
        <v>25</v>
      </c>
      <c r="B23" s="1">
        <v>45583.568287037036</v>
      </c>
      <c r="C23" t="str">
        <f t="shared" si="4"/>
        <v>41</v>
      </c>
      <c r="D23" t="s">
        <v>120</v>
      </c>
      <c r="E23" t="s">
        <v>116</v>
      </c>
      <c r="F23" t="s">
        <v>117</v>
      </c>
      <c r="H23" t="s">
        <v>123</v>
      </c>
      <c r="I23" t="str">
        <f>"101050002025852"</f>
        <v>101050002025852</v>
      </c>
      <c r="J23" t="str">
        <f t="shared" si="5"/>
        <v>515123</v>
      </c>
      <c r="K23" t="s">
        <v>19</v>
      </c>
      <c r="L23">
        <v>49</v>
      </c>
      <c r="M23">
        <v>49</v>
      </c>
      <c r="N23">
        <v>0</v>
      </c>
      <c r="O23" s="1">
        <v>45583.568287037036</v>
      </c>
      <c r="P23" t="s">
        <v>119</v>
      </c>
    </row>
    <row r="24" spans="1:16" x14ac:dyDescent="0.3">
      <c r="A24" t="s">
        <v>25</v>
      </c>
      <c r="B24" s="1">
        <v>45583.568287037036</v>
      </c>
      <c r="C24" t="str">
        <f t="shared" si="4"/>
        <v>41</v>
      </c>
      <c r="D24" t="s">
        <v>120</v>
      </c>
      <c r="E24" t="s">
        <v>116</v>
      </c>
      <c r="F24" t="s">
        <v>117</v>
      </c>
      <c r="H24" t="s">
        <v>123</v>
      </c>
      <c r="I24" t="str">
        <f>"101050002025850"</f>
        <v>101050002025850</v>
      </c>
      <c r="J24" t="str">
        <f t="shared" si="5"/>
        <v>515123</v>
      </c>
      <c r="K24" t="s">
        <v>19</v>
      </c>
      <c r="L24">
        <v>49</v>
      </c>
      <c r="M24">
        <v>49</v>
      </c>
      <c r="N24">
        <v>0</v>
      </c>
      <c r="O24" s="1">
        <v>45583.568287037036</v>
      </c>
      <c r="P24" t="s">
        <v>119</v>
      </c>
    </row>
    <row r="25" spans="1:16" x14ac:dyDescent="0.3">
      <c r="A25" t="s">
        <v>25</v>
      </c>
      <c r="B25" s="1">
        <v>45583.56827546296</v>
      </c>
      <c r="C25" t="str">
        <f t="shared" si="4"/>
        <v>41</v>
      </c>
      <c r="D25" t="s">
        <v>120</v>
      </c>
      <c r="E25" t="s">
        <v>116</v>
      </c>
      <c r="F25" t="s">
        <v>117</v>
      </c>
      <c r="H25" t="s">
        <v>123</v>
      </c>
      <c r="I25" t="str">
        <f>"101050002025748"</f>
        <v>101050002025748</v>
      </c>
      <c r="J25" t="str">
        <f t="shared" si="5"/>
        <v>515123</v>
      </c>
      <c r="K25" t="s">
        <v>19</v>
      </c>
      <c r="L25">
        <v>49</v>
      </c>
      <c r="M25">
        <v>49</v>
      </c>
      <c r="N25">
        <v>0</v>
      </c>
      <c r="O25" s="1">
        <v>45583.56827546296</v>
      </c>
      <c r="P25" t="s">
        <v>119</v>
      </c>
    </row>
    <row r="26" spans="1:16" x14ac:dyDescent="0.3">
      <c r="A26" t="s">
        <v>25</v>
      </c>
      <c r="B26" s="1">
        <v>45583.566655092596</v>
      </c>
      <c r="C26" t="str">
        <f>"38"</f>
        <v>38</v>
      </c>
      <c r="D26" t="s">
        <v>115</v>
      </c>
      <c r="E26" t="s">
        <v>116</v>
      </c>
      <c r="F26" t="s">
        <v>117</v>
      </c>
      <c r="H26" t="s">
        <v>124</v>
      </c>
      <c r="L26">
        <v>0</v>
      </c>
      <c r="M26">
        <v>0</v>
      </c>
      <c r="N26">
        <v>0</v>
      </c>
      <c r="O26" s="1">
        <v>45583.566655092596</v>
      </c>
      <c r="P26" t="s">
        <v>125</v>
      </c>
    </row>
    <row r="27" spans="1:16" x14ac:dyDescent="0.3">
      <c r="A27" t="s">
        <v>25</v>
      </c>
      <c r="B27" s="1">
        <v>45583.566655092596</v>
      </c>
      <c r="C27" t="str">
        <f t="shared" ref="C27:C32" si="6">"41"</f>
        <v>41</v>
      </c>
      <c r="D27" t="s">
        <v>120</v>
      </c>
      <c r="E27" t="s">
        <v>116</v>
      </c>
      <c r="F27" t="s">
        <v>117</v>
      </c>
      <c r="H27" t="s">
        <v>124</v>
      </c>
      <c r="I27" t="str">
        <f>"101050002023949"</f>
        <v>101050002023949</v>
      </c>
      <c r="J27" t="str">
        <f t="shared" ref="J27:J32" si="7">"128814"</f>
        <v>128814</v>
      </c>
      <c r="K27" t="s">
        <v>72</v>
      </c>
      <c r="L27">
        <v>49</v>
      </c>
      <c r="M27">
        <v>49</v>
      </c>
      <c r="N27">
        <v>0</v>
      </c>
      <c r="O27" s="1">
        <v>45583.566655092596</v>
      </c>
      <c r="P27" t="s">
        <v>125</v>
      </c>
    </row>
    <row r="28" spans="1:16" x14ac:dyDescent="0.3">
      <c r="A28" t="s">
        <v>25</v>
      </c>
      <c r="B28" s="1">
        <v>45583.566655092596</v>
      </c>
      <c r="C28" t="str">
        <f t="shared" si="6"/>
        <v>41</v>
      </c>
      <c r="D28" t="s">
        <v>120</v>
      </c>
      <c r="E28" t="s">
        <v>116</v>
      </c>
      <c r="F28" t="s">
        <v>117</v>
      </c>
      <c r="H28" t="s">
        <v>124</v>
      </c>
      <c r="I28" t="str">
        <f>"101050002023913"</f>
        <v>101050002023913</v>
      </c>
      <c r="J28" t="str">
        <f t="shared" si="7"/>
        <v>128814</v>
      </c>
      <c r="K28" t="s">
        <v>72</v>
      </c>
      <c r="L28">
        <v>49</v>
      </c>
      <c r="M28">
        <v>49</v>
      </c>
      <c r="N28">
        <v>0</v>
      </c>
      <c r="O28" s="1">
        <v>45583.566655092596</v>
      </c>
      <c r="P28" t="s">
        <v>125</v>
      </c>
    </row>
    <row r="29" spans="1:16" x14ac:dyDescent="0.3">
      <c r="A29" t="s">
        <v>25</v>
      </c>
      <c r="B29" s="1">
        <v>45583.566655092596</v>
      </c>
      <c r="C29" t="str">
        <f t="shared" si="6"/>
        <v>41</v>
      </c>
      <c r="D29" t="s">
        <v>120</v>
      </c>
      <c r="E29" t="s">
        <v>116</v>
      </c>
      <c r="F29" t="s">
        <v>117</v>
      </c>
      <c r="H29" t="s">
        <v>124</v>
      </c>
      <c r="I29" t="str">
        <f>"101050002023708"</f>
        <v>101050002023708</v>
      </c>
      <c r="J29" t="str">
        <f t="shared" si="7"/>
        <v>128814</v>
      </c>
      <c r="K29" t="s">
        <v>72</v>
      </c>
      <c r="L29">
        <v>49</v>
      </c>
      <c r="M29">
        <v>49</v>
      </c>
      <c r="N29">
        <v>0</v>
      </c>
      <c r="O29" s="1">
        <v>45583.566655092596</v>
      </c>
      <c r="P29" t="s">
        <v>125</v>
      </c>
    </row>
    <row r="30" spans="1:16" x14ac:dyDescent="0.3">
      <c r="A30" t="s">
        <v>25</v>
      </c>
      <c r="B30" s="1">
        <v>45583.566655092596</v>
      </c>
      <c r="C30" t="str">
        <f t="shared" si="6"/>
        <v>41</v>
      </c>
      <c r="D30" t="s">
        <v>120</v>
      </c>
      <c r="E30" t="s">
        <v>116</v>
      </c>
      <c r="F30" t="s">
        <v>117</v>
      </c>
      <c r="H30" t="s">
        <v>124</v>
      </c>
      <c r="I30" t="str">
        <f>"101050002018440"</f>
        <v>101050002018440</v>
      </c>
      <c r="J30" t="str">
        <f t="shared" si="7"/>
        <v>128814</v>
      </c>
      <c r="K30" t="s">
        <v>72</v>
      </c>
      <c r="L30">
        <v>49</v>
      </c>
      <c r="M30">
        <v>49</v>
      </c>
      <c r="N30">
        <v>0</v>
      </c>
      <c r="O30" s="1">
        <v>45583.566655092596</v>
      </c>
      <c r="P30" t="s">
        <v>125</v>
      </c>
    </row>
    <row r="31" spans="1:16" x14ac:dyDescent="0.3">
      <c r="A31" t="s">
        <v>25</v>
      </c>
      <c r="B31" s="1">
        <v>45583.566655092596</v>
      </c>
      <c r="C31" t="str">
        <f t="shared" si="6"/>
        <v>41</v>
      </c>
      <c r="D31" t="s">
        <v>120</v>
      </c>
      <c r="E31" t="s">
        <v>116</v>
      </c>
      <c r="F31" t="s">
        <v>117</v>
      </c>
      <c r="H31" t="s">
        <v>124</v>
      </c>
      <c r="I31" t="str">
        <f>"101050002018960"</f>
        <v>101050002018960</v>
      </c>
      <c r="J31" t="str">
        <f t="shared" si="7"/>
        <v>128814</v>
      </c>
      <c r="K31" t="s">
        <v>72</v>
      </c>
      <c r="L31">
        <v>49</v>
      </c>
      <c r="M31">
        <v>49</v>
      </c>
      <c r="N31">
        <v>0</v>
      </c>
      <c r="O31" s="1">
        <v>45583.566655092596</v>
      </c>
      <c r="P31" t="s">
        <v>125</v>
      </c>
    </row>
    <row r="32" spans="1:16" x14ac:dyDescent="0.3">
      <c r="A32" t="s">
        <v>25</v>
      </c>
      <c r="B32" s="1">
        <v>45583.566643518519</v>
      </c>
      <c r="C32" t="str">
        <f t="shared" si="6"/>
        <v>41</v>
      </c>
      <c r="D32" t="s">
        <v>120</v>
      </c>
      <c r="E32" t="s">
        <v>116</v>
      </c>
      <c r="F32" t="s">
        <v>117</v>
      </c>
      <c r="H32" t="s">
        <v>124</v>
      </c>
      <c r="I32" t="str">
        <f>"101050002018895"</f>
        <v>101050002018895</v>
      </c>
      <c r="J32" t="str">
        <f t="shared" si="7"/>
        <v>128814</v>
      </c>
      <c r="K32" t="s">
        <v>72</v>
      </c>
      <c r="L32">
        <v>49</v>
      </c>
      <c r="M32">
        <v>49</v>
      </c>
      <c r="N32">
        <v>0</v>
      </c>
      <c r="O32" s="1">
        <v>45583.566643518519</v>
      </c>
      <c r="P32" t="s">
        <v>125</v>
      </c>
    </row>
    <row r="33" spans="1:16" x14ac:dyDescent="0.3">
      <c r="A33" t="s">
        <v>25</v>
      </c>
      <c r="B33" s="1">
        <v>45583.566041666665</v>
      </c>
      <c r="C33" t="str">
        <f>"38"</f>
        <v>38</v>
      </c>
      <c r="D33" t="s">
        <v>115</v>
      </c>
      <c r="E33" t="s">
        <v>116</v>
      </c>
      <c r="F33" t="s">
        <v>117</v>
      </c>
      <c r="H33" t="s">
        <v>126</v>
      </c>
      <c r="L33">
        <v>0</v>
      </c>
      <c r="M33">
        <v>0</v>
      </c>
      <c r="N33">
        <v>0</v>
      </c>
      <c r="O33" s="1">
        <v>45583.566041666665</v>
      </c>
      <c r="P33" t="s">
        <v>125</v>
      </c>
    </row>
    <row r="34" spans="1:16" x14ac:dyDescent="0.3">
      <c r="A34" t="s">
        <v>25</v>
      </c>
      <c r="B34" s="1">
        <v>45583.566041666665</v>
      </c>
      <c r="C34" t="str">
        <f>"41"</f>
        <v>41</v>
      </c>
      <c r="D34" t="s">
        <v>120</v>
      </c>
      <c r="E34" t="s">
        <v>116</v>
      </c>
      <c r="F34" t="s">
        <v>117</v>
      </c>
      <c r="H34" t="s">
        <v>126</v>
      </c>
      <c r="I34" t="str">
        <f>"101050002006833"</f>
        <v>101050002006833</v>
      </c>
      <c r="J34" t="str">
        <f>"515060"</f>
        <v>515060</v>
      </c>
      <c r="K34" t="s">
        <v>95</v>
      </c>
      <c r="L34">
        <v>49</v>
      </c>
      <c r="M34">
        <v>49</v>
      </c>
      <c r="N34">
        <v>0</v>
      </c>
      <c r="O34" s="1">
        <v>45583.566041666665</v>
      </c>
      <c r="P34" t="s">
        <v>125</v>
      </c>
    </row>
    <row r="35" spans="1:16" x14ac:dyDescent="0.3">
      <c r="A35" t="s">
        <v>25</v>
      </c>
      <c r="B35" s="1">
        <v>45583.566041666665</v>
      </c>
      <c r="C35" t="str">
        <f>"41"</f>
        <v>41</v>
      </c>
      <c r="D35" t="s">
        <v>120</v>
      </c>
      <c r="E35" t="s">
        <v>116</v>
      </c>
      <c r="F35" t="s">
        <v>117</v>
      </c>
      <c r="H35" t="s">
        <v>126</v>
      </c>
      <c r="I35" t="str">
        <f>"101050002006830"</f>
        <v>101050002006830</v>
      </c>
      <c r="J35" t="str">
        <f>"515060"</f>
        <v>515060</v>
      </c>
      <c r="K35" t="s">
        <v>95</v>
      </c>
      <c r="L35">
        <v>49</v>
      </c>
      <c r="M35">
        <v>49</v>
      </c>
      <c r="N35">
        <v>0</v>
      </c>
      <c r="O35" s="1">
        <v>45583.566041666665</v>
      </c>
      <c r="P35" t="s">
        <v>125</v>
      </c>
    </row>
    <row r="36" spans="1:16" x14ac:dyDescent="0.3">
      <c r="A36" t="s">
        <v>25</v>
      </c>
      <c r="B36" s="1">
        <v>45583.566041666665</v>
      </c>
      <c r="C36" t="str">
        <f>"41"</f>
        <v>41</v>
      </c>
      <c r="D36" t="s">
        <v>120</v>
      </c>
      <c r="E36" t="s">
        <v>116</v>
      </c>
      <c r="F36" t="s">
        <v>117</v>
      </c>
      <c r="H36" t="s">
        <v>126</v>
      </c>
      <c r="I36" t="str">
        <f>"101050002006832"</f>
        <v>101050002006832</v>
      </c>
      <c r="J36" t="str">
        <f>"515060"</f>
        <v>515060</v>
      </c>
      <c r="K36" t="s">
        <v>95</v>
      </c>
      <c r="L36">
        <v>49</v>
      </c>
      <c r="M36">
        <v>49</v>
      </c>
      <c r="N36">
        <v>0</v>
      </c>
      <c r="O36" s="1">
        <v>45583.566041666665</v>
      </c>
      <c r="P36" t="s">
        <v>125</v>
      </c>
    </row>
    <row r="37" spans="1:16" x14ac:dyDescent="0.3">
      <c r="A37" t="s">
        <v>25</v>
      </c>
      <c r="B37" s="1">
        <v>45583.565798611111</v>
      </c>
      <c r="C37" t="str">
        <f>"38"</f>
        <v>38</v>
      </c>
      <c r="D37" t="s">
        <v>115</v>
      </c>
      <c r="E37" t="s">
        <v>116</v>
      </c>
      <c r="F37" t="s">
        <v>117</v>
      </c>
      <c r="H37" t="s">
        <v>127</v>
      </c>
      <c r="L37">
        <v>0</v>
      </c>
      <c r="M37">
        <v>0</v>
      </c>
      <c r="N37">
        <v>0</v>
      </c>
      <c r="O37" s="1">
        <v>45583.565798611111</v>
      </c>
      <c r="P37" t="s">
        <v>119</v>
      </c>
    </row>
    <row r="38" spans="1:16" x14ac:dyDescent="0.3">
      <c r="A38" t="s">
        <v>25</v>
      </c>
      <c r="B38" s="1">
        <v>45583.565798611111</v>
      </c>
      <c r="C38" t="str">
        <f t="shared" ref="C38:C44" si="8">"41"</f>
        <v>41</v>
      </c>
      <c r="D38" t="s">
        <v>120</v>
      </c>
      <c r="E38" t="s">
        <v>116</v>
      </c>
      <c r="F38" t="s">
        <v>117</v>
      </c>
      <c r="H38" t="s">
        <v>127</v>
      </c>
      <c r="I38" t="str">
        <f>"101050002025475"</f>
        <v>101050002025475</v>
      </c>
      <c r="J38" t="str">
        <f t="shared" ref="J38:J44" si="9">"515122"</f>
        <v>515122</v>
      </c>
      <c r="K38" t="s">
        <v>4</v>
      </c>
      <c r="L38">
        <v>49</v>
      </c>
      <c r="M38">
        <v>49</v>
      </c>
      <c r="N38">
        <v>0</v>
      </c>
      <c r="O38" s="1">
        <v>45583.565798611111</v>
      </c>
      <c r="P38" t="s">
        <v>119</v>
      </c>
    </row>
    <row r="39" spans="1:16" x14ac:dyDescent="0.3">
      <c r="A39" t="s">
        <v>25</v>
      </c>
      <c r="B39" s="1">
        <v>45583.565798611111</v>
      </c>
      <c r="C39" t="str">
        <f t="shared" si="8"/>
        <v>41</v>
      </c>
      <c r="D39" t="s">
        <v>120</v>
      </c>
      <c r="E39" t="s">
        <v>116</v>
      </c>
      <c r="F39" t="s">
        <v>117</v>
      </c>
      <c r="H39" t="s">
        <v>127</v>
      </c>
      <c r="I39" t="str">
        <f>"101050002025239"</f>
        <v>101050002025239</v>
      </c>
      <c r="J39" t="str">
        <f t="shared" si="9"/>
        <v>515122</v>
      </c>
      <c r="K39" t="s">
        <v>4</v>
      </c>
      <c r="L39">
        <v>49</v>
      </c>
      <c r="M39">
        <v>49</v>
      </c>
      <c r="N39">
        <v>0</v>
      </c>
      <c r="O39" s="1">
        <v>45583.565798611111</v>
      </c>
      <c r="P39" t="s">
        <v>119</v>
      </c>
    </row>
    <row r="40" spans="1:16" x14ac:dyDescent="0.3">
      <c r="A40" t="s">
        <v>25</v>
      </c>
      <c r="B40" s="1">
        <v>45583.565798611111</v>
      </c>
      <c r="C40" t="str">
        <f t="shared" si="8"/>
        <v>41</v>
      </c>
      <c r="D40" t="s">
        <v>120</v>
      </c>
      <c r="E40" t="s">
        <v>116</v>
      </c>
      <c r="F40" t="s">
        <v>117</v>
      </c>
      <c r="H40" t="s">
        <v>127</v>
      </c>
      <c r="I40" t="str">
        <f>"101050002025149"</f>
        <v>101050002025149</v>
      </c>
      <c r="J40" t="str">
        <f t="shared" si="9"/>
        <v>515122</v>
      </c>
      <c r="K40" t="s">
        <v>4</v>
      </c>
      <c r="L40">
        <v>49</v>
      </c>
      <c r="M40">
        <v>49</v>
      </c>
      <c r="N40">
        <v>0</v>
      </c>
      <c r="O40" s="1">
        <v>45583.565798611111</v>
      </c>
      <c r="P40" t="s">
        <v>119</v>
      </c>
    </row>
    <row r="41" spans="1:16" x14ac:dyDescent="0.3">
      <c r="A41" t="s">
        <v>25</v>
      </c>
      <c r="B41" s="1">
        <v>45583.565798611111</v>
      </c>
      <c r="C41" t="str">
        <f t="shared" si="8"/>
        <v>41</v>
      </c>
      <c r="D41" t="s">
        <v>120</v>
      </c>
      <c r="E41" t="s">
        <v>116</v>
      </c>
      <c r="F41" t="s">
        <v>117</v>
      </c>
      <c r="H41" t="s">
        <v>127</v>
      </c>
      <c r="I41" t="str">
        <f>"101050002025413"</f>
        <v>101050002025413</v>
      </c>
      <c r="J41" t="str">
        <f t="shared" si="9"/>
        <v>515122</v>
      </c>
      <c r="K41" t="s">
        <v>4</v>
      </c>
      <c r="L41">
        <v>49</v>
      </c>
      <c r="M41">
        <v>49</v>
      </c>
      <c r="N41">
        <v>0</v>
      </c>
      <c r="O41" s="1">
        <v>45583.565798611111</v>
      </c>
      <c r="P41" t="s">
        <v>119</v>
      </c>
    </row>
    <row r="42" spans="1:16" x14ac:dyDescent="0.3">
      <c r="A42" t="s">
        <v>25</v>
      </c>
      <c r="B42" s="1">
        <v>45583.565787037034</v>
      </c>
      <c r="C42" t="str">
        <f t="shared" si="8"/>
        <v>41</v>
      </c>
      <c r="D42" t="s">
        <v>120</v>
      </c>
      <c r="E42" t="s">
        <v>116</v>
      </c>
      <c r="F42" t="s">
        <v>117</v>
      </c>
      <c r="H42" t="s">
        <v>127</v>
      </c>
      <c r="I42" t="str">
        <f>"101050002025474"</f>
        <v>101050002025474</v>
      </c>
      <c r="J42" t="str">
        <f t="shared" si="9"/>
        <v>515122</v>
      </c>
      <c r="K42" t="s">
        <v>4</v>
      </c>
      <c r="L42">
        <v>49</v>
      </c>
      <c r="M42">
        <v>49</v>
      </c>
      <c r="N42">
        <v>0</v>
      </c>
      <c r="O42" s="1">
        <v>45583.565787037034</v>
      </c>
      <c r="P42" t="s">
        <v>119</v>
      </c>
    </row>
    <row r="43" spans="1:16" x14ac:dyDescent="0.3">
      <c r="A43" t="s">
        <v>25</v>
      </c>
      <c r="B43" s="1">
        <v>45583.565787037034</v>
      </c>
      <c r="C43" t="str">
        <f t="shared" si="8"/>
        <v>41</v>
      </c>
      <c r="D43" t="s">
        <v>120</v>
      </c>
      <c r="E43" t="s">
        <v>116</v>
      </c>
      <c r="F43" t="s">
        <v>117</v>
      </c>
      <c r="H43" t="s">
        <v>127</v>
      </c>
      <c r="I43" t="str">
        <f>"101050002024919"</f>
        <v>101050002024919</v>
      </c>
      <c r="J43" t="str">
        <f t="shared" si="9"/>
        <v>515122</v>
      </c>
      <c r="K43" t="s">
        <v>4</v>
      </c>
      <c r="L43">
        <v>49</v>
      </c>
      <c r="M43">
        <v>49</v>
      </c>
      <c r="N43">
        <v>0</v>
      </c>
      <c r="O43" s="1">
        <v>45583.565787037034</v>
      </c>
      <c r="P43" t="s">
        <v>119</v>
      </c>
    </row>
    <row r="44" spans="1:16" x14ac:dyDescent="0.3">
      <c r="A44" t="s">
        <v>25</v>
      </c>
      <c r="B44" s="1">
        <v>45583.565787037034</v>
      </c>
      <c r="C44" t="str">
        <f t="shared" si="8"/>
        <v>41</v>
      </c>
      <c r="D44" t="s">
        <v>120</v>
      </c>
      <c r="E44" t="s">
        <v>116</v>
      </c>
      <c r="F44" t="s">
        <v>117</v>
      </c>
      <c r="H44" t="s">
        <v>127</v>
      </c>
      <c r="I44" t="str">
        <f>"101050002025473"</f>
        <v>101050002025473</v>
      </c>
      <c r="J44" t="str">
        <f t="shared" si="9"/>
        <v>515122</v>
      </c>
      <c r="K44" t="s">
        <v>4</v>
      </c>
      <c r="L44">
        <v>49</v>
      </c>
      <c r="M44">
        <v>49</v>
      </c>
      <c r="N44">
        <v>0</v>
      </c>
      <c r="O44" s="1">
        <v>45583.565787037034</v>
      </c>
      <c r="P44" t="s">
        <v>119</v>
      </c>
    </row>
    <row r="45" spans="1:16" x14ac:dyDescent="0.3">
      <c r="A45" t="s">
        <v>25</v>
      </c>
      <c r="B45" s="1">
        <v>45583.564664351848</v>
      </c>
      <c r="C45" t="str">
        <f>"38"</f>
        <v>38</v>
      </c>
      <c r="D45" t="s">
        <v>115</v>
      </c>
      <c r="E45" t="s">
        <v>116</v>
      </c>
      <c r="F45" t="s">
        <v>117</v>
      </c>
      <c r="H45" t="s">
        <v>128</v>
      </c>
      <c r="L45">
        <v>0</v>
      </c>
      <c r="M45">
        <v>0</v>
      </c>
      <c r="N45">
        <v>0</v>
      </c>
      <c r="O45" s="1">
        <v>45583.564664351848</v>
      </c>
      <c r="P45" t="s">
        <v>119</v>
      </c>
    </row>
    <row r="46" spans="1:16" x14ac:dyDescent="0.3">
      <c r="A46" t="s">
        <v>25</v>
      </c>
      <c r="B46" s="1">
        <v>45583.564664351848</v>
      </c>
      <c r="C46" t="str">
        <f t="shared" ref="C46:C52" si="10">"41"</f>
        <v>41</v>
      </c>
      <c r="D46" t="s">
        <v>120</v>
      </c>
      <c r="E46" t="s">
        <v>116</v>
      </c>
      <c r="F46" t="s">
        <v>117</v>
      </c>
      <c r="H46" t="s">
        <v>128</v>
      </c>
      <c r="I46" t="str">
        <f>"101050002025273"</f>
        <v>101050002025273</v>
      </c>
      <c r="J46" t="str">
        <f t="shared" ref="J46:J52" si="11">"515122"</f>
        <v>515122</v>
      </c>
      <c r="K46" t="s">
        <v>4</v>
      </c>
      <c r="L46">
        <v>49</v>
      </c>
      <c r="M46">
        <v>49</v>
      </c>
      <c r="N46">
        <v>0</v>
      </c>
      <c r="O46" s="1">
        <v>45583.564664351848</v>
      </c>
      <c r="P46" t="s">
        <v>119</v>
      </c>
    </row>
    <row r="47" spans="1:16" x14ac:dyDescent="0.3">
      <c r="A47" t="s">
        <v>25</v>
      </c>
      <c r="B47" s="1">
        <v>45583.564664351848</v>
      </c>
      <c r="C47" t="str">
        <f t="shared" si="10"/>
        <v>41</v>
      </c>
      <c r="D47" t="s">
        <v>120</v>
      </c>
      <c r="E47" t="s">
        <v>116</v>
      </c>
      <c r="F47" t="s">
        <v>117</v>
      </c>
      <c r="H47" t="s">
        <v>128</v>
      </c>
      <c r="I47" t="str">
        <f>"101050002023121"</f>
        <v>101050002023121</v>
      </c>
      <c r="J47" t="str">
        <f t="shared" si="11"/>
        <v>515122</v>
      </c>
      <c r="K47" t="s">
        <v>4</v>
      </c>
      <c r="L47">
        <v>49</v>
      </c>
      <c r="M47">
        <v>49</v>
      </c>
      <c r="N47">
        <v>0</v>
      </c>
      <c r="O47" s="1">
        <v>45583.564664351848</v>
      </c>
      <c r="P47" t="s">
        <v>119</v>
      </c>
    </row>
    <row r="48" spans="1:16" x14ac:dyDescent="0.3">
      <c r="A48" t="s">
        <v>25</v>
      </c>
      <c r="B48" s="1">
        <v>45583.564664351848</v>
      </c>
      <c r="C48" t="str">
        <f t="shared" si="10"/>
        <v>41</v>
      </c>
      <c r="D48" t="s">
        <v>120</v>
      </c>
      <c r="E48" t="s">
        <v>116</v>
      </c>
      <c r="F48" t="s">
        <v>117</v>
      </c>
      <c r="H48" t="s">
        <v>128</v>
      </c>
      <c r="I48" t="str">
        <f>"101050002022202"</f>
        <v>101050002022202</v>
      </c>
      <c r="J48" t="str">
        <f t="shared" si="11"/>
        <v>515122</v>
      </c>
      <c r="K48" t="s">
        <v>4</v>
      </c>
      <c r="L48">
        <v>49</v>
      </c>
      <c r="M48">
        <v>49</v>
      </c>
      <c r="N48">
        <v>0</v>
      </c>
      <c r="O48" s="1">
        <v>45583.564664351848</v>
      </c>
      <c r="P48" t="s">
        <v>119</v>
      </c>
    </row>
    <row r="49" spans="1:16" x14ac:dyDescent="0.3">
      <c r="A49" t="s">
        <v>25</v>
      </c>
      <c r="B49" s="1">
        <v>45583.564664351848</v>
      </c>
      <c r="C49" t="str">
        <f t="shared" si="10"/>
        <v>41</v>
      </c>
      <c r="D49" t="s">
        <v>120</v>
      </c>
      <c r="E49" t="s">
        <v>116</v>
      </c>
      <c r="F49" t="s">
        <v>117</v>
      </c>
      <c r="H49" t="s">
        <v>128</v>
      </c>
      <c r="I49" t="str">
        <f>"101050002022160"</f>
        <v>101050002022160</v>
      </c>
      <c r="J49" t="str">
        <f t="shared" si="11"/>
        <v>515122</v>
      </c>
      <c r="K49" t="s">
        <v>4</v>
      </c>
      <c r="L49">
        <v>49</v>
      </c>
      <c r="M49">
        <v>49</v>
      </c>
      <c r="N49">
        <v>0</v>
      </c>
      <c r="O49" s="1">
        <v>45583.564664351848</v>
      </c>
      <c r="P49" t="s">
        <v>119</v>
      </c>
    </row>
    <row r="50" spans="1:16" x14ac:dyDescent="0.3">
      <c r="A50" t="s">
        <v>25</v>
      </c>
      <c r="B50" s="1">
        <v>45583.564664351848</v>
      </c>
      <c r="C50" t="str">
        <f t="shared" si="10"/>
        <v>41</v>
      </c>
      <c r="D50" t="s">
        <v>120</v>
      </c>
      <c r="E50" t="s">
        <v>116</v>
      </c>
      <c r="F50" t="s">
        <v>117</v>
      </c>
      <c r="H50" t="s">
        <v>128</v>
      </c>
      <c r="I50" t="str">
        <f>"101050002021632"</f>
        <v>101050002021632</v>
      </c>
      <c r="J50" t="str">
        <f t="shared" si="11"/>
        <v>515122</v>
      </c>
      <c r="K50" t="s">
        <v>4</v>
      </c>
      <c r="L50">
        <v>49</v>
      </c>
      <c r="M50">
        <v>49</v>
      </c>
      <c r="N50">
        <v>0</v>
      </c>
      <c r="O50" s="1">
        <v>45583.564664351848</v>
      </c>
      <c r="P50" t="s">
        <v>119</v>
      </c>
    </row>
    <row r="51" spans="1:16" x14ac:dyDescent="0.3">
      <c r="A51" t="s">
        <v>25</v>
      </c>
      <c r="B51" s="1">
        <v>45583.564652777779</v>
      </c>
      <c r="C51" t="str">
        <f t="shared" si="10"/>
        <v>41</v>
      </c>
      <c r="D51" t="s">
        <v>120</v>
      </c>
      <c r="E51" t="s">
        <v>116</v>
      </c>
      <c r="F51" t="s">
        <v>117</v>
      </c>
      <c r="H51" t="s">
        <v>128</v>
      </c>
      <c r="I51" t="str">
        <f>"101050002022201"</f>
        <v>101050002022201</v>
      </c>
      <c r="J51" t="str">
        <f t="shared" si="11"/>
        <v>515122</v>
      </c>
      <c r="K51" t="s">
        <v>4</v>
      </c>
      <c r="L51">
        <v>49</v>
      </c>
      <c r="M51">
        <v>49</v>
      </c>
      <c r="N51">
        <v>0</v>
      </c>
      <c r="O51" s="1">
        <v>45583.564652777779</v>
      </c>
      <c r="P51" t="s">
        <v>119</v>
      </c>
    </row>
    <row r="52" spans="1:16" x14ac:dyDescent="0.3">
      <c r="A52" t="s">
        <v>25</v>
      </c>
      <c r="B52" s="1">
        <v>45583.564652777779</v>
      </c>
      <c r="C52" t="str">
        <f t="shared" si="10"/>
        <v>41</v>
      </c>
      <c r="D52" t="s">
        <v>120</v>
      </c>
      <c r="E52" t="s">
        <v>116</v>
      </c>
      <c r="F52" t="s">
        <v>117</v>
      </c>
      <c r="H52" t="s">
        <v>128</v>
      </c>
      <c r="I52" t="str">
        <f>"101050002020338"</f>
        <v>101050002020338</v>
      </c>
      <c r="J52" t="str">
        <f t="shared" si="11"/>
        <v>515122</v>
      </c>
      <c r="K52" t="s">
        <v>4</v>
      </c>
      <c r="L52">
        <v>49</v>
      </c>
      <c r="M52">
        <v>49</v>
      </c>
      <c r="N52">
        <v>0</v>
      </c>
      <c r="O52" s="1">
        <v>45583.564652777779</v>
      </c>
      <c r="P52" t="s">
        <v>119</v>
      </c>
    </row>
    <row r="53" spans="1:16" x14ac:dyDescent="0.3">
      <c r="A53" t="s">
        <v>25</v>
      </c>
      <c r="B53" s="1">
        <v>45583.564236111109</v>
      </c>
      <c r="C53" t="str">
        <f>"38"</f>
        <v>38</v>
      </c>
      <c r="D53" t="s">
        <v>115</v>
      </c>
      <c r="E53" t="s">
        <v>116</v>
      </c>
      <c r="F53" t="s">
        <v>117</v>
      </c>
      <c r="H53" t="s">
        <v>129</v>
      </c>
      <c r="L53">
        <v>0</v>
      </c>
      <c r="M53">
        <v>0</v>
      </c>
      <c r="N53">
        <v>0</v>
      </c>
      <c r="O53" s="1">
        <v>45583.564236111109</v>
      </c>
      <c r="P53" t="s">
        <v>122</v>
      </c>
    </row>
    <row r="54" spans="1:16" x14ac:dyDescent="0.3">
      <c r="A54" t="s">
        <v>25</v>
      </c>
      <c r="B54" s="1">
        <v>45583.564236111109</v>
      </c>
      <c r="C54" t="str">
        <f t="shared" ref="C54:C60" si="12">"41"</f>
        <v>41</v>
      </c>
      <c r="D54" t="s">
        <v>120</v>
      </c>
      <c r="E54" t="s">
        <v>116</v>
      </c>
      <c r="F54" t="s">
        <v>117</v>
      </c>
      <c r="H54" t="s">
        <v>129</v>
      </c>
      <c r="I54" t="str">
        <f>"101050002023122"</f>
        <v>101050002023122</v>
      </c>
      <c r="J54" t="str">
        <f t="shared" ref="J54:J60" si="13">"515122"</f>
        <v>515122</v>
      </c>
      <c r="K54" t="s">
        <v>4</v>
      </c>
      <c r="L54">
        <v>49</v>
      </c>
      <c r="M54">
        <v>49</v>
      </c>
      <c r="N54">
        <v>0</v>
      </c>
      <c r="O54" s="1">
        <v>45583.564236111109</v>
      </c>
      <c r="P54" t="s">
        <v>122</v>
      </c>
    </row>
    <row r="55" spans="1:16" x14ac:dyDescent="0.3">
      <c r="A55" t="s">
        <v>25</v>
      </c>
      <c r="B55" s="1">
        <v>45583.564236111109</v>
      </c>
      <c r="C55" t="str">
        <f t="shared" si="12"/>
        <v>41</v>
      </c>
      <c r="D55" t="s">
        <v>120</v>
      </c>
      <c r="E55" t="s">
        <v>116</v>
      </c>
      <c r="F55" t="s">
        <v>117</v>
      </c>
      <c r="H55" t="s">
        <v>129</v>
      </c>
      <c r="I55" t="str">
        <f>"101050002023019"</f>
        <v>101050002023019</v>
      </c>
      <c r="J55" t="str">
        <f t="shared" si="13"/>
        <v>515122</v>
      </c>
      <c r="K55" t="s">
        <v>4</v>
      </c>
      <c r="L55">
        <v>49</v>
      </c>
      <c r="M55">
        <v>49</v>
      </c>
      <c r="N55">
        <v>0</v>
      </c>
      <c r="O55" s="1">
        <v>45583.564236111109</v>
      </c>
      <c r="P55" t="s">
        <v>122</v>
      </c>
    </row>
    <row r="56" spans="1:16" x14ac:dyDescent="0.3">
      <c r="A56" t="s">
        <v>25</v>
      </c>
      <c r="B56" s="1">
        <v>45583.564236111109</v>
      </c>
      <c r="C56" t="str">
        <f t="shared" si="12"/>
        <v>41</v>
      </c>
      <c r="D56" t="s">
        <v>120</v>
      </c>
      <c r="E56" t="s">
        <v>116</v>
      </c>
      <c r="F56" t="s">
        <v>117</v>
      </c>
      <c r="H56" t="s">
        <v>129</v>
      </c>
      <c r="I56" t="str">
        <f>"101050002022999"</f>
        <v>101050002022999</v>
      </c>
      <c r="J56" t="str">
        <f t="shared" si="13"/>
        <v>515122</v>
      </c>
      <c r="K56" t="s">
        <v>4</v>
      </c>
      <c r="L56">
        <v>49</v>
      </c>
      <c r="M56">
        <v>49</v>
      </c>
      <c r="N56">
        <v>0</v>
      </c>
      <c r="O56" s="1">
        <v>45583.564236111109</v>
      </c>
      <c r="P56" t="s">
        <v>122</v>
      </c>
    </row>
    <row r="57" spans="1:16" x14ac:dyDescent="0.3">
      <c r="A57" t="s">
        <v>25</v>
      </c>
      <c r="B57" s="1">
        <v>45583.564236111109</v>
      </c>
      <c r="C57" t="str">
        <f t="shared" si="12"/>
        <v>41</v>
      </c>
      <c r="D57" t="s">
        <v>120</v>
      </c>
      <c r="E57" t="s">
        <v>116</v>
      </c>
      <c r="F57" t="s">
        <v>117</v>
      </c>
      <c r="H57" t="s">
        <v>129</v>
      </c>
      <c r="I57" t="str">
        <f>"101050002022910"</f>
        <v>101050002022910</v>
      </c>
      <c r="J57" t="str">
        <f t="shared" si="13"/>
        <v>515122</v>
      </c>
      <c r="K57" t="s">
        <v>4</v>
      </c>
      <c r="L57">
        <v>49</v>
      </c>
      <c r="M57">
        <v>49</v>
      </c>
      <c r="N57">
        <v>0</v>
      </c>
      <c r="O57" s="1">
        <v>45583.564236111109</v>
      </c>
      <c r="P57" t="s">
        <v>122</v>
      </c>
    </row>
    <row r="58" spans="1:16" x14ac:dyDescent="0.3">
      <c r="A58" t="s">
        <v>25</v>
      </c>
      <c r="B58" s="1">
        <v>45583.564236111109</v>
      </c>
      <c r="C58" t="str">
        <f t="shared" si="12"/>
        <v>41</v>
      </c>
      <c r="D58" t="s">
        <v>120</v>
      </c>
      <c r="E58" t="s">
        <v>116</v>
      </c>
      <c r="F58" t="s">
        <v>117</v>
      </c>
      <c r="H58" t="s">
        <v>129</v>
      </c>
      <c r="I58" t="str">
        <f>"101050002021873"</f>
        <v>101050002021873</v>
      </c>
      <c r="J58" t="str">
        <f t="shared" si="13"/>
        <v>515122</v>
      </c>
      <c r="K58" t="s">
        <v>4</v>
      </c>
      <c r="L58">
        <v>49</v>
      </c>
      <c r="M58">
        <v>49</v>
      </c>
      <c r="N58">
        <v>0</v>
      </c>
      <c r="O58" s="1">
        <v>45583.564236111109</v>
      </c>
      <c r="P58" t="s">
        <v>122</v>
      </c>
    </row>
    <row r="59" spans="1:16" x14ac:dyDescent="0.3">
      <c r="A59" t="s">
        <v>25</v>
      </c>
      <c r="B59" s="1">
        <v>45583.56422453704</v>
      </c>
      <c r="C59" t="str">
        <f t="shared" si="12"/>
        <v>41</v>
      </c>
      <c r="D59" t="s">
        <v>120</v>
      </c>
      <c r="E59" t="s">
        <v>116</v>
      </c>
      <c r="F59" t="s">
        <v>117</v>
      </c>
      <c r="H59" t="s">
        <v>129</v>
      </c>
      <c r="I59" t="str">
        <f>"101050002021871"</f>
        <v>101050002021871</v>
      </c>
      <c r="J59" t="str">
        <f t="shared" si="13"/>
        <v>515122</v>
      </c>
      <c r="K59" t="s">
        <v>4</v>
      </c>
      <c r="L59">
        <v>49</v>
      </c>
      <c r="M59">
        <v>49</v>
      </c>
      <c r="N59">
        <v>0</v>
      </c>
      <c r="O59" s="1">
        <v>45583.56422453704</v>
      </c>
      <c r="P59" t="s">
        <v>122</v>
      </c>
    </row>
    <row r="60" spans="1:16" x14ac:dyDescent="0.3">
      <c r="A60" t="s">
        <v>25</v>
      </c>
      <c r="B60" s="1">
        <v>45583.56422453704</v>
      </c>
      <c r="C60" t="str">
        <f t="shared" si="12"/>
        <v>41</v>
      </c>
      <c r="D60" t="s">
        <v>120</v>
      </c>
      <c r="E60" t="s">
        <v>116</v>
      </c>
      <c r="F60" t="s">
        <v>117</v>
      </c>
      <c r="H60" t="s">
        <v>129</v>
      </c>
      <c r="I60" t="str">
        <f>"101050002021911"</f>
        <v>101050002021911</v>
      </c>
      <c r="J60" t="str">
        <f t="shared" si="13"/>
        <v>515122</v>
      </c>
      <c r="K60" t="s">
        <v>4</v>
      </c>
      <c r="L60">
        <v>49</v>
      </c>
      <c r="M60">
        <v>49</v>
      </c>
      <c r="N60">
        <v>0</v>
      </c>
      <c r="O60" s="1">
        <v>45583.56422453704</v>
      </c>
      <c r="P60" t="s">
        <v>122</v>
      </c>
    </row>
    <row r="61" spans="1:16" x14ac:dyDescent="0.3">
      <c r="A61" t="s">
        <v>25</v>
      </c>
      <c r="B61" s="1">
        <v>45583.562951388885</v>
      </c>
      <c r="C61" t="str">
        <f>"38"</f>
        <v>38</v>
      </c>
      <c r="D61" t="s">
        <v>115</v>
      </c>
      <c r="E61" t="s">
        <v>116</v>
      </c>
      <c r="F61" t="s">
        <v>117</v>
      </c>
      <c r="H61" t="s">
        <v>130</v>
      </c>
      <c r="L61">
        <v>0</v>
      </c>
      <c r="M61">
        <v>0</v>
      </c>
      <c r="N61">
        <v>0</v>
      </c>
      <c r="O61" s="1">
        <v>45583.562951388885</v>
      </c>
      <c r="P61" t="s">
        <v>119</v>
      </c>
    </row>
    <row r="62" spans="1:16" x14ac:dyDescent="0.3">
      <c r="A62" t="s">
        <v>25</v>
      </c>
      <c r="B62" s="1">
        <v>45583.562951388885</v>
      </c>
      <c r="C62" t="str">
        <f t="shared" ref="C62:C68" si="14">"41"</f>
        <v>41</v>
      </c>
      <c r="D62" t="s">
        <v>120</v>
      </c>
      <c r="E62" t="s">
        <v>116</v>
      </c>
      <c r="F62" t="s">
        <v>117</v>
      </c>
      <c r="H62" t="s">
        <v>130</v>
      </c>
      <c r="I62" t="str">
        <f>"101050002027358"</f>
        <v>101050002027358</v>
      </c>
      <c r="J62" t="str">
        <f t="shared" ref="J62:J68" si="15">"515122"</f>
        <v>515122</v>
      </c>
      <c r="K62" t="s">
        <v>4</v>
      </c>
      <c r="L62">
        <v>49</v>
      </c>
      <c r="M62">
        <v>49</v>
      </c>
      <c r="N62">
        <v>0</v>
      </c>
      <c r="O62" s="1">
        <v>45583.562951388885</v>
      </c>
      <c r="P62" t="s">
        <v>119</v>
      </c>
    </row>
    <row r="63" spans="1:16" x14ac:dyDescent="0.3">
      <c r="A63" t="s">
        <v>25</v>
      </c>
      <c r="B63" s="1">
        <v>45583.562951388885</v>
      </c>
      <c r="C63" t="str">
        <f t="shared" si="14"/>
        <v>41</v>
      </c>
      <c r="D63" t="s">
        <v>120</v>
      </c>
      <c r="E63" t="s">
        <v>116</v>
      </c>
      <c r="F63" t="s">
        <v>117</v>
      </c>
      <c r="H63" t="s">
        <v>130</v>
      </c>
      <c r="I63" t="str">
        <f>"101050002022707"</f>
        <v>101050002022707</v>
      </c>
      <c r="J63" t="str">
        <f t="shared" si="15"/>
        <v>515122</v>
      </c>
      <c r="K63" t="s">
        <v>4</v>
      </c>
      <c r="L63">
        <v>49</v>
      </c>
      <c r="M63">
        <v>49</v>
      </c>
      <c r="N63">
        <v>0</v>
      </c>
      <c r="O63" s="1">
        <v>45583.562951388885</v>
      </c>
      <c r="P63" t="s">
        <v>119</v>
      </c>
    </row>
    <row r="64" spans="1:16" x14ac:dyDescent="0.3">
      <c r="A64" t="s">
        <v>25</v>
      </c>
      <c r="B64" s="1">
        <v>45583.562951388885</v>
      </c>
      <c r="C64" t="str">
        <f t="shared" si="14"/>
        <v>41</v>
      </c>
      <c r="D64" t="s">
        <v>120</v>
      </c>
      <c r="E64" t="s">
        <v>116</v>
      </c>
      <c r="F64" t="s">
        <v>117</v>
      </c>
      <c r="H64" t="s">
        <v>130</v>
      </c>
      <c r="I64" t="str">
        <f>"101050002022598"</f>
        <v>101050002022598</v>
      </c>
      <c r="J64" t="str">
        <f t="shared" si="15"/>
        <v>515122</v>
      </c>
      <c r="K64" t="s">
        <v>4</v>
      </c>
      <c r="L64">
        <v>49</v>
      </c>
      <c r="M64">
        <v>49</v>
      </c>
      <c r="N64">
        <v>0</v>
      </c>
      <c r="O64" s="1">
        <v>45583.562951388885</v>
      </c>
      <c r="P64" t="s">
        <v>119</v>
      </c>
    </row>
    <row r="65" spans="1:16" x14ac:dyDescent="0.3">
      <c r="A65" t="s">
        <v>25</v>
      </c>
      <c r="B65" s="1">
        <v>45583.562951388885</v>
      </c>
      <c r="C65" t="str">
        <f t="shared" si="14"/>
        <v>41</v>
      </c>
      <c r="D65" t="s">
        <v>120</v>
      </c>
      <c r="E65" t="s">
        <v>116</v>
      </c>
      <c r="F65" t="s">
        <v>117</v>
      </c>
      <c r="H65" t="s">
        <v>130</v>
      </c>
      <c r="I65" t="str">
        <f>"101050002022509"</f>
        <v>101050002022509</v>
      </c>
      <c r="J65" t="str">
        <f t="shared" si="15"/>
        <v>515122</v>
      </c>
      <c r="K65" t="s">
        <v>4</v>
      </c>
      <c r="L65">
        <v>49</v>
      </c>
      <c r="M65">
        <v>49</v>
      </c>
      <c r="N65">
        <v>0</v>
      </c>
      <c r="O65" s="1">
        <v>45583.562951388885</v>
      </c>
      <c r="P65" t="s">
        <v>119</v>
      </c>
    </row>
    <row r="66" spans="1:16" x14ac:dyDescent="0.3">
      <c r="A66" t="s">
        <v>25</v>
      </c>
      <c r="B66" s="1">
        <v>45583.562939814816</v>
      </c>
      <c r="C66" t="str">
        <f t="shared" si="14"/>
        <v>41</v>
      </c>
      <c r="D66" t="s">
        <v>120</v>
      </c>
      <c r="E66" t="s">
        <v>116</v>
      </c>
      <c r="F66" t="s">
        <v>117</v>
      </c>
      <c r="H66" t="s">
        <v>130</v>
      </c>
      <c r="I66" t="str">
        <f>"101050002022203"</f>
        <v>101050002022203</v>
      </c>
      <c r="J66" t="str">
        <f t="shared" si="15"/>
        <v>515122</v>
      </c>
      <c r="K66" t="s">
        <v>4</v>
      </c>
      <c r="L66">
        <v>49</v>
      </c>
      <c r="M66">
        <v>49</v>
      </c>
      <c r="N66">
        <v>0</v>
      </c>
      <c r="O66" s="1">
        <v>45583.562939814816</v>
      </c>
      <c r="P66" t="s">
        <v>119</v>
      </c>
    </row>
    <row r="67" spans="1:16" x14ac:dyDescent="0.3">
      <c r="A67" t="s">
        <v>25</v>
      </c>
      <c r="B67" s="1">
        <v>45583.562939814816</v>
      </c>
      <c r="C67" t="str">
        <f t="shared" si="14"/>
        <v>41</v>
      </c>
      <c r="D67" t="s">
        <v>120</v>
      </c>
      <c r="E67" t="s">
        <v>116</v>
      </c>
      <c r="F67" t="s">
        <v>117</v>
      </c>
      <c r="H67" t="s">
        <v>130</v>
      </c>
      <c r="I67" t="str">
        <f>"101050002022204"</f>
        <v>101050002022204</v>
      </c>
      <c r="J67" t="str">
        <f t="shared" si="15"/>
        <v>515122</v>
      </c>
      <c r="K67" t="s">
        <v>4</v>
      </c>
      <c r="L67">
        <v>49</v>
      </c>
      <c r="M67">
        <v>49</v>
      </c>
      <c r="N67">
        <v>0</v>
      </c>
      <c r="O67" s="1">
        <v>45583.562939814816</v>
      </c>
      <c r="P67" t="s">
        <v>119</v>
      </c>
    </row>
    <row r="68" spans="1:16" x14ac:dyDescent="0.3">
      <c r="A68" t="s">
        <v>25</v>
      </c>
      <c r="B68" s="1">
        <v>45583.562939814816</v>
      </c>
      <c r="C68" t="str">
        <f t="shared" si="14"/>
        <v>41</v>
      </c>
      <c r="D68" t="s">
        <v>120</v>
      </c>
      <c r="E68" t="s">
        <v>116</v>
      </c>
      <c r="F68" t="s">
        <v>117</v>
      </c>
      <c r="H68" t="s">
        <v>130</v>
      </c>
      <c r="I68" t="str">
        <f>"101050002022299"</f>
        <v>101050002022299</v>
      </c>
      <c r="J68" t="str">
        <f t="shared" si="15"/>
        <v>515122</v>
      </c>
      <c r="K68" t="s">
        <v>4</v>
      </c>
      <c r="L68">
        <v>49</v>
      </c>
      <c r="M68">
        <v>49</v>
      </c>
      <c r="N68">
        <v>0</v>
      </c>
      <c r="O68" s="1">
        <v>45583.562939814816</v>
      </c>
      <c r="P68" t="s">
        <v>119</v>
      </c>
    </row>
    <row r="69" spans="1:16" x14ac:dyDescent="0.3">
      <c r="A69" t="s">
        <v>25</v>
      </c>
      <c r="B69" s="1">
        <v>45583.562083333331</v>
      </c>
      <c r="C69" t="str">
        <f>"38"</f>
        <v>38</v>
      </c>
      <c r="D69" t="s">
        <v>115</v>
      </c>
      <c r="E69" t="s">
        <v>116</v>
      </c>
      <c r="F69" t="s">
        <v>117</v>
      </c>
      <c r="H69" t="s">
        <v>131</v>
      </c>
      <c r="L69">
        <v>0</v>
      </c>
      <c r="M69">
        <v>0</v>
      </c>
      <c r="N69">
        <v>0</v>
      </c>
      <c r="O69" s="1">
        <v>45583.562083333331</v>
      </c>
      <c r="P69" t="s">
        <v>132</v>
      </c>
    </row>
    <row r="70" spans="1:16" x14ac:dyDescent="0.3">
      <c r="A70" t="s">
        <v>25</v>
      </c>
      <c r="B70" s="1">
        <v>45583.562083333331</v>
      </c>
      <c r="C70" t="str">
        <f t="shared" ref="C70:C76" si="16">"41"</f>
        <v>41</v>
      </c>
      <c r="D70" t="s">
        <v>120</v>
      </c>
      <c r="E70" t="s">
        <v>116</v>
      </c>
      <c r="F70" t="s">
        <v>117</v>
      </c>
      <c r="H70" t="s">
        <v>131</v>
      </c>
      <c r="I70" t="str">
        <f>"101050002027479"</f>
        <v>101050002027479</v>
      </c>
      <c r="J70" t="str">
        <f t="shared" ref="J70:J76" si="17">"127571"</f>
        <v>127571</v>
      </c>
      <c r="K70" t="s">
        <v>5</v>
      </c>
      <c r="L70">
        <v>91</v>
      </c>
      <c r="M70">
        <v>91</v>
      </c>
      <c r="N70">
        <v>0</v>
      </c>
      <c r="O70" s="1">
        <v>45583.562083333331</v>
      </c>
      <c r="P70" t="s">
        <v>132</v>
      </c>
    </row>
    <row r="71" spans="1:16" x14ac:dyDescent="0.3">
      <c r="A71" t="s">
        <v>25</v>
      </c>
      <c r="B71" s="1">
        <v>45583.562083333331</v>
      </c>
      <c r="C71" t="str">
        <f t="shared" si="16"/>
        <v>41</v>
      </c>
      <c r="D71" t="s">
        <v>120</v>
      </c>
      <c r="E71" t="s">
        <v>116</v>
      </c>
      <c r="F71" t="s">
        <v>117</v>
      </c>
      <c r="H71" t="s">
        <v>131</v>
      </c>
      <c r="I71" t="str">
        <f>"101050002025692"</f>
        <v>101050002025692</v>
      </c>
      <c r="J71" t="str">
        <f t="shared" si="17"/>
        <v>127571</v>
      </c>
      <c r="K71" t="s">
        <v>5</v>
      </c>
      <c r="L71">
        <v>91</v>
      </c>
      <c r="M71">
        <v>91</v>
      </c>
      <c r="N71">
        <v>0</v>
      </c>
      <c r="O71" s="1">
        <v>45583.562083333331</v>
      </c>
      <c r="P71" t="s">
        <v>132</v>
      </c>
    </row>
    <row r="72" spans="1:16" x14ac:dyDescent="0.3">
      <c r="A72" t="s">
        <v>25</v>
      </c>
      <c r="B72" s="1">
        <v>45583.562083333331</v>
      </c>
      <c r="C72" t="str">
        <f t="shared" si="16"/>
        <v>41</v>
      </c>
      <c r="D72" t="s">
        <v>120</v>
      </c>
      <c r="E72" t="s">
        <v>116</v>
      </c>
      <c r="F72" t="s">
        <v>117</v>
      </c>
      <c r="H72" t="s">
        <v>131</v>
      </c>
      <c r="I72" t="str">
        <f>"101050002026303"</f>
        <v>101050002026303</v>
      </c>
      <c r="J72" t="str">
        <f t="shared" si="17"/>
        <v>127571</v>
      </c>
      <c r="K72" t="s">
        <v>5</v>
      </c>
      <c r="L72">
        <v>91</v>
      </c>
      <c r="M72">
        <v>91</v>
      </c>
      <c r="N72">
        <v>0</v>
      </c>
      <c r="O72" s="1">
        <v>45583.562083333331</v>
      </c>
      <c r="P72" t="s">
        <v>132</v>
      </c>
    </row>
    <row r="73" spans="1:16" x14ac:dyDescent="0.3">
      <c r="A73" t="s">
        <v>25</v>
      </c>
      <c r="B73" s="1">
        <v>45583.562083333331</v>
      </c>
      <c r="C73" t="str">
        <f t="shared" si="16"/>
        <v>41</v>
      </c>
      <c r="D73" t="s">
        <v>120</v>
      </c>
      <c r="E73" t="s">
        <v>116</v>
      </c>
      <c r="F73" t="s">
        <v>117</v>
      </c>
      <c r="H73" t="s">
        <v>131</v>
      </c>
      <c r="I73" t="str">
        <f>"101050002027062"</f>
        <v>101050002027062</v>
      </c>
      <c r="J73" t="str">
        <f t="shared" si="17"/>
        <v>127571</v>
      </c>
      <c r="K73" t="s">
        <v>5</v>
      </c>
      <c r="L73">
        <v>91</v>
      </c>
      <c r="M73">
        <v>91</v>
      </c>
      <c r="N73">
        <v>0</v>
      </c>
      <c r="O73" s="1">
        <v>45583.562083333331</v>
      </c>
      <c r="P73" t="s">
        <v>132</v>
      </c>
    </row>
    <row r="74" spans="1:16" x14ac:dyDescent="0.3">
      <c r="A74" t="s">
        <v>25</v>
      </c>
      <c r="B74" s="1">
        <v>45583.562083333331</v>
      </c>
      <c r="C74" t="str">
        <f t="shared" si="16"/>
        <v>41</v>
      </c>
      <c r="D74" t="s">
        <v>120</v>
      </c>
      <c r="E74" t="s">
        <v>116</v>
      </c>
      <c r="F74" t="s">
        <v>117</v>
      </c>
      <c r="H74" t="s">
        <v>131</v>
      </c>
      <c r="I74" t="str">
        <f>"101050002026992"</f>
        <v>101050002026992</v>
      </c>
      <c r="J74" t="str">
        <f t="shared" si="17"/>
        <v>127571</v>
      </c>
      <c r="K74" t="s">
        <v>5</v>
      </c>
      <c r="L74">
        <v>91</v>
      </c>
      <c r="M74">
        <v>91</v>
      </c>
      <c r="N74">
        <v>0</v>
      </c>
      <c r="O74" s="1">
        <v>45583.562083333331</v>
      </c>
      <c r="P74" t="s">
        <v>132</v>
      </c>
    </row>
    <row r="75" spans="1:16" x14ac:dyDescent="0.3">
      <c r="A75" t="s">
        <v>25</v>
      </c>
      <c r="B75" s="1">
        <v>45583.562071759261</v>
      </c>
      <c r="C75" t="str">
        <f t="shared" si="16"/>
        <v>41</v>
      </c>
      <c r="D75" t="s">
        <v>120</v>
      </c>
      <c r="E75" t="s">
        <v>116</v>
      </c>
      <c r="F75" t="s">
        <v>117</v>
      </c>
      <c r="H75" t="s">
        <v>131</v>
      </c>
      <c r="I75" t="str">
        <f>"101050002023111"</f>
        <v>101050002023111</v>
      </c>
      <c r="J75" t="str">
        <f t="shared" si="17"/>
        <v>127571</v>
      </c>
      <c r="K75" t="s">
        <v>5</v>
      </c>
      <c r="L75">
        <v>91</v>
      </c>
      <c r="M75">
        <v>91</v>
      </c>
      <c r="N75">
        <v>0</v>
      </c>
      <c r="O75" s="1">
        <v>45583.562071759261</v>
      </c>
      <c r="P75" t="s">
        <v>132</v>
      </c>
    </row>
    <row r="76" spans="1:16" x14ac:dyDescent="0.3">
      <c r="A76" t="s">
        <v>25</v>
      </c>
      <c r="B76" s="1">
        <v>45583.562071759261</v>
      </c>
      <c r="C76" t="str">
        <f t="shared" si="16"/>
        <v>41</v>
      </c>
      <c r="D76" t="s">
        <v>120</v>
      </c>
      <c r="E76" t="s">
        <v>116</v>
      </c>
      <c r="F76" t="s">
        <v>117</v>
      </c>
      <c r="H76" t="s">
        <v>131</v>
      </c>
      <c r="I76" t="str">
        <f>"101050002023286"</f>
        <v>101050002023286</v>
      </c>
      <c r="J76" t="str">
        <f t="shared" si="17"/>
        <v>127571</v>
      </c>
      <c r="K76" t="s">
        <v>5</v>
      </c>
      <c r="L76">
        <v>91</v>
      </c>
      <c r="M76">
        <v>91</v>
      </c>
      <c r="N76">
        <v>0</v>
      </c>
      <c r="O76" s="1">
        <v>45583.562071759261</v>
      </c>
      <c r="P76" t="s">
        <v>132</v>
      </c>
    </row>
    <row r="77" spans="1:16" x14ac:dyDescent="0.3">
      <c r="A77" t="s">
        <v>25</v>
      </c>
      <c r="B77" s="1">
        <v>45583.561759259261</v>
      </c>
      <c r="C77" t="str">
        <f>"38"</f>
        <v>38</v>
      </c>
      <c r="D77" t="s">
        <v>115</v>
      </c>
      <c r="E77" t="s">
        <v>116</v>
      </c>
      <c r="F77" t="s">
        <v>117</v>
      </c>
      <c r="H77" t="s">
        <v>133</v>
      </c>
      <c r="L77">
        <v>0</v>
      </c>
      <c r="M77">
        <v>0</v>
      </c>
      <c r="N77">
        <v>0</v>
      </c>
      <c r="O77" s="1">
        <v>45583.561759259261</v>
      </c>
      <c r="P77" t="s">
        <v>119</v>
      </c>
    </row>
    <row r="78" spans="1:16" x14ac:dyDescent="0.3">
      <c r="A78" t="s">
        <v>25</v>
      </c>
      <c r="B78" s="1">
        <v>45583.561759259261</v>
      </c>
      <c r="C78" t="str">
        <f t="shared" ref="C78:C83" si="18">"41"</f>
        <v>41</v>
      </c>
      <c r="D78" t="s">
        <v>120</v>
      </c>
      <c r="E78" t="s">
        <v>116</v>
      </c>
      <c r="F78" t="s">
        <v>117</v>
      </c>
      <c r="H78" t="s">
        <v>133</v>
      </c>
      <c r="I78" t="str">
        <f>"101050002026819"</f>
        <v>101050002026819</v>
      </c>
      <c r="J78" t="str">
        <f t="shared" ref="J78:J83" si="19">"515122"</f>
        <v>515122</v>
      </c>
      <c r="K78" t="s">
        <v>4</v>
      </c>
      <c r="L78">
        <v>49</v>
      </c>
      <c r="M78">
        <v>49</v>
      </c>
      <c r="N78">
        <v>0</v>
      </c>
      <c r="O78" s="1">
        <v>45583.561759259261</v>
      </c>
      <c r="P78" t="s">
        <v>119</v>
      </c>
    </row>
    <row r="79" spans="1:16" x14ac:dyDescent="0.3">
      <c r="A79" t="s">
        <v>25</v>
      </c>
      <c r="B79" s="1">
        <v>45583.561759259261</v>
      </c>
      <c r="C79" t="str">
        <f t="shared" si="18"/>
        <v>41</v>
      </c>
      <c r="D79" t="s">
        <v>120</v>
      </c>
      <c r="E79" t="s">
        <v>116</v>
      </c>
      <c r="F79" t="s">
        <v>117</v>
      </c>
      <c r="H79" t="s">
        <v>133</v>
      </c>
      <c r="I79" t="str">
        <f>"101050002022710"</f>
        <v>101050002022710</v>
      </c>
      <c r="J79" t="str">
        <f t="shared" si="19"/>
        <v>515122</v>
      </c>
      <c r="K79" t="s">
        <v>4</v>
      </c>
      <c r="L79">
        <v>49</v>
      </c>
      <c r="M79">
        <v>49</v>
      </c>
      <c r="N79">
        <v>0</v>
      </c>
      <c r="O79" s="1">
        <v>45583.561759259261</v>
      </c>
      <c r="P79" t="s">
        <v>119</v>
      </c>
    </row>
    <row r="80" spans="1:16" x14ac:dyDescent="0.3">
      <c r="A80" t="s">
        <v>25</v>
      </c>
      <c r="B80" s="1">
        <v>45583.561759259261</v>
      </c>
      <c r="C80" t="str">
        <f t="shared" si="18"/>
        <v>41</v>
      </c>
      <c r="D80" t="s">
        <v>120</v>
      </c>
      <c r="E80" t="s">
        <v>116</v>
      </c>
      <c r="F80" t="s">
        <v>117</v>
      </c>
      <c r="H80" t="s">
        <v>133</v>
      </c>
      <c r="I80" t="str">
        <f>"101050002021872"</f>
        <v>101050002021872</v>
      </c>
      <c r="J80" t="str">
        <f t="shared" si="19"/>
        <v>515122</v>
      </c>
      <c r="K80" t="s">
        <v>4</v>
      </c>
      <c r="L80">
        <v>49</v>
      </c>
      <c r="M80">
        <v>49</v>
      </c>
      <c r="N80">
        <v>0</v>
      </c>
      <c r="O80" s="1">
        <v>45583.561759259261</v>
      </c>
      <c r="P80" t="s">
        <v>119</v>
      </c>
    </row>
    <row r="81" spans="1:16" x14ac:dyDescent="0.3">
      <c r="A81" t="s">
        <v>25</v>
      </c>
      <c r="B81" s="1">
        <v>45583.561759259261</v>
      </c>
      <c r="C81" t="str">
        <f t="shared" si="18"/>
        <v>41</v>
      </c>
      <c r="D81" t="s">
        <v>120</v>
      </c>
      <c r="E81" t="s">
        <v>116</v>
      </c>
      <c r="F81" t="s">
        <v>117</v>
      </c>
      <c r="H81" t="s">
        <v>133</v>
      </c>
      <c r="I81" t="str">
        <f>"101050002021634"</f>
        <v>101050002021634</v>
      </c>
      <c r="J81" t="str">
        <f t="shared" si="19"/>
        <v>515122</v>
      </c>
      <c r="K81" t="s">
        <v>4</v>
      </c>
      <c r="L81">
        <v>49</v>
      </c>
      <c r="M81">
        <v>49</v>
      </c>
      <c r="N81">
        <v>0</v>
      </c>
      <c r="O81" s="1">
        <v>45583.561759259261</v>
      </c>
      <c r="P81" t="s">
        <v>119</v>
      </c>
    </row>
    <row r="82" spans="1:16" x14ac:dyDescent="0.3">
      <c r="A82" t="s">
        <v>25</v>
      </c>
      <c r="B82" s="1">
        <v>45583.561747685184</v>
      </c>
      <c r="C82" t="str">
        <f t="shared" si="18"/>
        <v>41</v>
      </c>
      <c r="D82" t="s">
        <v>120</v>
      </c>
      <c r="E82" t="s">
        <v>116</v>
      </c>
      <c r="F82" t="s">
        <v>117</v>
      </c>
      <c r="H82" t="s">
        <v>133</v>
      </c>
      <c r="I82" t="str">
        <f>"101050002021637"</f>
        <v>101050002021637</v>
      </c>
      <c r="J82" t="str">
        <f t="shared" si="19"/>
        <v>515122</v>
      </c>
      <c r="K82" t="s">
        <v>4</v>
      </c>
      <c r="L82">
        <v>49</v>
      </c>
      <c r="M82">
        <v>49</v>
      </c>
      <c r="N82">
        <v>0</v>
      </c>
      <c r="O82" s="1">
        <v>45583.561747685184</v>
      </c>
      <c r="P82" t="s">
        <v>119</v>
      </c>
    </row>
    <row r="83" spans="1:16" x14ac:dyDescent="0.3">
      <c r="A83" t="s">
        <v>25</v>
      </c>
      <c r="B83" s="1">
        <v>45583.561747685184</v>
      </c>
      <c r="C83" t="str">
        <f t="shared" si="18"/>
        <v>41</v>
      </c>
      <c r="D83" t="s">
        <v>120</v>
      </c>
      <c r="E83" t="s">
        <v>116</v>
      </c>
      <c r="F83" t="s">
        <v>117</v>
      </c>
      <c r="H83" t="s">
        <v>133</v>
      </c>
      <c r="I83" t="str">
        <f>"101050002020075"</f>
        <v>101050002020075</v>
      </c>
      <c r="J83" t="str">
        <f t="shared" si="19"/>
        <v>515122</v>
      </c>
      <c r="K83" t="s">
        <v>4</v>
      </c>
      <c r="L83">
        <v>49</v>
      </c>
      <c r="M83">
        <v>49</v>
      </c>
      <c r="N83">
        <v>0</v>
      </c>
      <c r="O83" s="1">
        <v>45583.561747685184</v>
      </c>
      <c r="P83" t="s">
        <v>119</v>
      </c>
    </row>
    <row r="84" spans="1:16" x14ac:dyDescent="0.3">
      <c r="A84" t="s">
        <v>25</v>
      </c>
      <c r="B84" s="1">
        <v>45583.561585648145</v>
      </c>
      <c r="C84" t="str">
        <f>"38"</f>
        <v>38</v>
      </c>
      <c r="D84" t="s">
        <v>115</v>
      </c>
      <c r="E84" t="s">
        <v>116</v>
      </c>
      <c r="F84" t="s">
        <v>117</v>
      </c>
      <c r="H84" t="s">
        <v>134</v>
      </c>
      <c r="L84">
        <v>0</v>
      </c>
      <c r="M84">
        <v>0</v>
      </c>
      <c r="N84">
        <v>0</v>
      </c>
      <c r="O84" s="1">
        <v>45583.561585648145</v>
      </c>
      <c r="P84" t="s">
        <v>122</v>
      </c>
    </row>
    <row r="85" spans="1:16" x14ac:dyDescent="0.3">
      <c r="A85" t="s">
        <v>25</v>
      </c>
      <c r="B85" s="1">
        <v>45583.561585648145</v>
      </c>
      <c r="C85" t="str">
        <f>"41"</f>
        <v>41</v>
      </c>
      <c r="D85" t="s">
        <v>120</v>
      </c>
      <c r="E85" t="s">
        <v>116</v>
      </c>
      <c r="F85" t="s">
        <v>117</v>
      </c>
      <c r="H85" t="s">
        <v>134</v>
      </c>
      <c r="I85" t="str">
        <f>"101570001113692"</f>
        <v>101570001113692</v>
      </c>
      <c r="J85" t="str">
        <f>"128431"</f>
        <v>128431</v>
      </c>
      <c r="K85" t="s">
        <v>11</v>
      </c>
      <c r="L85">
        <v>49</v>
      </c>
      <c r="M85">
        <v>49</v>
      </c>
      <c r="N85">
        <v>0</v>
      </c>
      <c r="O85" s="1">
        <v>45583.561585648145</v>
      </c>
      <c r="P85" t="s">
        <v>122</v>
      </c>
    </row>
    <row r="86" spans="1:16" x14ac:dyDescent="0.3">
      <c r="A86" t="s">
        <v>25</v>
      </c>
      <c r="B86" s="1">
        <v>45583.561585648145</v>
      </c>
      <c r="C86" t="str">
        <f>"41"</f>
        <v>41</v>
      </c>
      <c r="D86" t="s">
        <v>120</v>
      </c>
      <c r="E86" t="s">
        <v>116</v>
      </c>
      <c r="F86" t="s">
        <v>117</v>
      </c>
      <c r="H86" t="s">
        <v>134</v>
      </c>
      <c r="I86" t="str">
        <f>"101570001113686"</f>
        <v>101570001113686</v>
      </c>
      <c r="J86" t="str">
        <f>"128431"</f>
        <v>128431</v>
      </c>
      <c r="K86" t="s">
        <v>11</v>
      </c>
      <c r="L86">
        <v>49</v>
      </c>
      <c r="M86">
        <v>49</v>
      </c>
      <c r="N86">
        <v>0</v>
      </c>
      <c r="O86" s="1">
        <v>45583.561585648145</v>
      </c>
      <c r="P86" t="s">
        <v>122</v>
      </c>
    </row>
    <row r="87" spans="1:16" x14ac:dyDescent="0.3">
      <c r="A87" t="s">
        <v>25</v>
      </c>
      <c r="B87" s="1">
        <v>45583.561574074076</v>
      </c>
      <c r="C87" t="str">
        <f>"41"</f>
        <v>41</v>
      </c>
      <c r="D87" t="s">
        <v>120</v>
      </c>
      <c r="E87" t="s">
        <v>116</v>
      </c>
      <c r="F87" t="s">
        <v>117</v>
      </c>
      <c r="H87" t="s">
        <v>134</v>
      </c>
      <c r="I87" t="str">
        <f>"101570001113534"</f>
        <v>101570001113534</v>
      </c>
      <c r="J87" t="str">
        <f>"128431"</f>
        <v>128431</v>
      </c>
      <c r="K87" t="s">
        <v>11</v>
      </c>
      <c r="L87">
        <v>49</v>
      </c>
      <c r="M87">
        <v>49</v>
      </c>
      <c r="N87">
        <v>0</v>
      </c>
      <c r="O87" s="1">
        <v>45583.561574074076</v>
      </c>
      <c r="P87" t="s">
        <v>122</v>
      </c>
    </row>
    <row r="88" spans="1:16" x14ac:dyDescent="0.3">
      <c r="A88" t="s">
        <v>25</v>
      </c>
      <c r="B88" s="1">
        <v>45583.561574074076</v>
      </c>
      <c r="C88" t="str">
        <f>"41"</f>
        <v>41</v>
      </c>
      <c r="D88" t="s">
        <v>120</v>
      </c>
      <c r="E88" t="s">
        <v>116</v>
      </c>
      <c r="F88" t="s">
        <v>117</v>
      </c>
      <c r="H88" t="s">
        <v>134</v>
      </c>
      <c r="I88" t="str">
        <f>"101570001113530"</f>
        <v>101570001113530</v>
      </c>
      <c r="J88" t="str">
        <f>"128431"</f>
        <v>128431</v>
      </c>
      <c r="K88" t="s">
        <v>11</v>
      </c>
      <c r="L88">
        <v>49</v>
      </c>
      <c r="M88">
        <v>49</v>
      </c>
      <c r="N88">
        <v>0</v>
      </c>
      <c r="O88" s="1">
        <v>45583.561574074076</v>
      </c>
      <c r="P88" t="s">
        <v>122</v>
      </c>
    </row>
    <row r="89" spans="1:16" x14ac:dyDescent="0.3">
      <c r="A89" t="s">
        <v>25</v>
      </c>
      <c r="B89" s="1">
        <v>45583.561574074076</v>
      </c>
      <c r="C89" t="str">
        <f>"41"</f>
        <v>41</v>
      </c>
      <c r="D89" t="s">
        <v>120</v>
      </c>
      <c r="E89" t="s">
        <v>116</v>
      </c>
      <c r="F89" t="s">
        <v>117</v>
      </c>
      <c r="H89" t="s">
        <v>134</v>
      </c>
      <c r="I89" t="str">
        <f>"101570001113671"</f>
        <v>101570001113671</v>
      </c>
      <c r="J89" t="str">
        <f>"128431"</f>
        <v>128431</v>
      </c>
      <c r="K89" t="s">
        <v>11</v>
      </c>
      <c r="L89">
        <v>49</v>
      </c>
      <c r="M89">
        <v>49</v>
      </c>
      <c r="N89">
        <v>0</v>
      </c>
      <c r="O89" s="1">
        <v>45583.561574074076</v>
      </c>
      <c r="P89" t="s">
        <v>122</v>
      </c>
    </row>
    <row r="90" spans="1:16" x14ac:dyDescent="0.3">
      <c r="A90" t="s">
        <v>25</v>
      </c>
      <c r="B90" s="1">
        <v>45583.559872685182</v>
      </c>
      <c r="C90" t="str">
        <f>"38"</f>
        <v>38</v>
      </c>
      <c r="D90" t="s">
        <v>115</v>
      </c>
      <c r="E90" t="s">
        <v>116</v>
      </c>
      <c r="F90" t="s">
        <v>117</v>
      </c>
      <c r="H90" t="s">
        <v>135</v>
      </c>
      <c r="L90">
        <v>0</v>
      </c>
      <c r="M90">
        <v>0</v>
      </c>
      <c r="N90">
        <v>0</v>
      </c>
      <c r="O90" s="1">
        <v>45583.559872685182</v>
      </c>
      <c r="P90" t="s">
        <v>125</v>
      </c>
    </row>
    <row r="91" spans="1:16" x14ac:dyDescent="0.3">
      <c r="A91" t="s">
        <v>25</v>
      </c>
      <c r="B91" s="1">
        <v>45583.559872685182</v>
      </c>
      <c r="C91" t="str">
        <f t="shared" ref="C91:C97" si="20">"41"</f>
        <v>41</v>
      </c>
      <c r="D91" t="s">
        <v>120</v>
      </c>
      <c r="E91" t="s">
        <v>116</v>
      </c>
      <c r="F91" t="s">
        <v>117</v>
      </c>
      <c r="H91" t="s">
        <v>135</v>
      </c>
      <c r="I91" t="str">
        <f>"101050002027090"</f>
        <v>101050002027090</v>
      </c>
      <c r="J91" t="str">
        <f t="shared" ref="J91:J97" si="21">"127571"</f>
        <v>127571</v>
      </c>
      <c r="K91" t="s">
        <v>5</v>
      </c>
      <c r="L91">
        <v>91</v>
      </c>
      <c r="M91">
        <v>91</v>
      </c>
      <c r="N91">
        <v>0</v>
      </c>
      <c r="O91" s="1">
        <v>45583.559872685182</v>
      </c>
      <c r="P91" t="s">
        <v>125</v>
      </c>
    </row>
    <row r="92" spans="1:16" x14ac:dyDescent="0.3">
      <c r="A92" t="s">
        <v>25</v>
      </c>
      <c r="B92" s="1">
        <v>45583.559872685182</v>
      </c>
      <c r="C92" t="str">
        <f t="shared" si="20"/>
        <v>41</v>
      </c>
      <c r="D92" t="s">
        <v>120</v>
      </c>
      <c r="E92" t="s">
        <v>116</v>
      </c>
      <c r="F92" t="s">
        <v>117</v>
      </c>
      <c r="H92" t="s">
        <v>135</v>
      </c>
      <c r="I92" t="str">
        <f>"101050002027063"</f>
        <v>101050002027063</v>
      </c>
      <c r="J92" t="str">
        <f t="shared" si="21"/>
        <v>127571</v>
      </c>
      <c r="K92" t="s">
        <v>5</v>
      </c>
      <c r="L92">
        <v>91</v>
      </c>
      <c r="M92">
        <v>91</v>
      </c>
      <c r="N92">
        <v>0</v>
      </c>
      <c r="O92" s="1">
        <v>45583.559872685182</v>
      </c>
      <c r="P92" t="s">
        <v>125</v>
      </c>
    </row>
    <row r="93" spans="1:16" x14ac:dyDescent="0.3">
      <c r="A93" t="s">
        <v>25</v>
      </c>
      <c r="B93" s="1">
        <v>45583.559861111113</v>
      </c>
      <c r="C93" t="str">
        <f t="shared" si="20"/>
        <v>41</v>
      </c>
      <c r="D93" t="s">
        <v>120</v>
      </c>
      <c r="E93" t="s">
        <v>116</v>
      </c>
      <c r="F93" t="s">
        <v>117</v>
      </c>
      <c r="H93" t="s">
        <v>135</v>
      </c>
      <c r="I93" t="str">
        <f>"101050002026923"</f>
        <v>101050002026923</v>
      </c>
      <c r="J93" t="str">
        <f t="shared" si="21"/>
        <v>127571</v>
      </c>
      <c r="K93" t="s">
        <v>5</v>
      </c>
      <c r="L93">
        <v>91</v>
      </c>
      <c r="M93">
        <v>91</v>
      </c>
      <c r="N93">
        <v>0</v>
      </c>
      <c r="O93" s="1">
        <v>45583.559861111113</v>
      </c>
      <c r="P93" t="s">
        <v>125</v>
      </c>
    </row>
    <row r="94" spans="1:16" x14ac:dyDescent="0.3">
      <c r="A94" t="s">
        <v>25</v>
      </c>
      <c r="B94" s="1">
        <v>45583.559861111113</v>
      </c>
      <c r="C94" t="str">
        <f t="shared" si="20"/>
        <v>41</v>
      </c>
      <c r="D94" t="s">
        <v>120</v>
      </c>
      <c r="E94" t="s">
        <v>116</v>
      </c>
      <c r="F94" t="s">
        <v>117</v>
      </c>
      <c r="H94" t="s">
        <v>135</v>
      </c>
      <c r="I94" t="str">
        <f>"101050002027191"</f>
        <v>101050002027191</v>
      </c>
      <c r="J94" t="str">
        <f t="shared" si="21"/>
        <v>127571</v>
      </c>
      <c r="K94" t="s">
        <v>5</v>
      </c>
      <c r="L94">
        <v>91</v>
      </c>
      <c r="M94">
        <v>91</v>
      </c>
      <c r="N94">
        <v>0</v>
      </c>
      <c r="O94" s="1">
        <v>45583.559861111113</v>
      </c>
      <c r="P94" t="s">
        <v>125</v>
      </c>
    </row>
    <row r="95" spans="1:16" x14ac:dyDescent="0.3">
      <c r="A95" t="s">
        <v>25</v>
      </c>
      <c r="B95" s="1">
        <v>45583.559861111113</v>
      </c>
      <c r="C95" t="str">
        <f t="shared" si="20"/>
        <v>41</v>
      </c>
      <c r="D95" t="s">
        <v>120</v>
      </c>
      <c r="E95" t="s">
        <v>116</v>
      </c>
      <c r="F95" t="s">
        <v>117</v>
      </c>
      <c r="H95" t="s">
        <v>135</v>
      </c>
      <c r="I95" t="str">
        <f>"101050002027196"</f>
        <v>101050002027196</v>
      </c>
      <c r="J95" t="str">
        <f t="shared" si="21"/>
        <v>127571</v>
      </c>
      <c r="K95" t="s">
        <v>5</v>
      </c>
      <c r="L95">
        <v>91</v>
      </c>
      <c r="M95">
        <v>91</v>
      </c>
      <c r="N95">
        <v>0</v>
      </c>
      <c r="O95" s="1">
        <v>45583.559861111113</v>
      </c>
      <c r="P95" t="s">
        <v>125</v>
      </c>
    </row>
    <row r="96" spans="1:16" x14ac:dyDescent="0.3">
      <c r="A96" t="s">
        <v>25</v>
      </c>
      <c r="B96" s="1">
        <v>45583.559861111113</v>
      </c>
      <c r="C96" t="str">
        <f t="shared" si="20"/>
        <v>41</v>
      </c>
      <c r="D96" t="s">
        <v>120</v>
      </c>
      <c r="E96" t="s">
        <v>116</v>
      </c>
      <c r="F96" t="s">
        <v>117</v>
      </c>
      <c r="H96" t="s">
        <v>135</v>
      </c>
      <c r="I96" t="str">
        <f>"101050002027117"</f>
        <v>101050002027117</v>
      </c>
      <c r="J96" t="str">
        <f t="shared" si="21"/>
        <v>127571</v>
      </c>
      <c r="K96" t="s">
        <v>5</v>
      </c>
      <c r="L96">
        <v>91</v>
      </c>
      <c r="M96">
        <v>91</v>
      </c>
      <c r="N96">
        <v>0</v>
      </c>
      <c r="O96" s="1">
        <v>45583.559861111113</v>
      </c>
      <c r="P96" t="s">
        <v>125</v>
      </c>
    </row>
    <row r="97" spans="1:16" x14ac:dyDescent="0.3">
      <c r="A97" t="s">
        <v>25</v>
      </c>
      <c r="B97" s="1">
        <v>45583.559861111113</v>
      </c>
      <c r="C97" t="str">
        <f t="shared" si="20"/>
        <v>41</v>
      </c>
      <c r="D97" t="s">
        <v>120</v>
      </c>
      <c r="E97" t="s">
        <v>116</v>
      </c>
      <c r="F97" t="s">
        <v>117</v>
      </c>
      <c r="H97" t="s">
        <v>135</v>
      </c>
      <c r="I97" t="str">
        <f>"101050002027215"</f>
        <v>101050002027215</v>
      </c>
      <c r="J97" t="str">
        <f t="shared" si="21"/>
        <v>127571</v>
      </c>
      <c r="K97" t="s">
        <v>5</v>
      </c>
      <c r="L97">
        <v>91</v>
      </c>
      <c r="M97">
        <v>91</v>
      </c>
      <c r="N97">
        <v>0</v>
      </c>
      <c r="O97" s="1">
        <v>45583.559861111113</v>
      </c>
      <c r="P97" t="s">
        <v>125</v>
      </c>
    </row>
    <row r="98" spans="1:16" x14ac:dyDescent="0.3">
      <c r="A98" t="s">
        <v>25</v>
      </c>
      <c r="B98" s="1">
        <v>45583.559629629628</v>
      </c>
      <c r="C98" t="str">
        <f>"38"</f>
        <v>38</v>
      </c>
      <c r="D98" t="s">
        <v>115</v>
      </c>
      <c r="E98" t="s">
        <v>116</v>
      </c>
      <c r="F98" t="s">
        <v>117</v>
      </c>
      <c r="H98" t="s">
        <v>136</v>
      </c>
      <c r="L98">
        <v>0</v>
      </c>
      <c r="M98">
        <v>0</v>
      </c>
      <c r="N98">
        <v>0</v>
      </c>
      <c r="O98" s="1">
        <v>45583.559629629628</v>
      </c>
      <c r="P98" t="s">
        <v>119</v>
      </c>
    </row>
    <row r="99" spans="1:16" x14ac:dyDescent="0.3">
      <c r="A99" t="s">
        <v>25</v>
      </c>
      <c r="B99" s="1">
        <v>45583.559629629628</v>
      </c>
      <c r="C99" t="str">
        <f t="shared" ref="C99:C105" si="22">"41"</f>
        <v>41</v>
      </c>
      <c r="D99" t="s">
        <v>120</v>
      </c>
      <c r="E99" t="s">
        <v>116</v>
      </c>
      <c r="F99" t="s">
        <v>117</v>
      </c>
      <c r="H99" t="s">
        <v>136</v>
      </c>
      <c r="I99" t="str">
        <f>"101050002026569"</f>
        <v>101050002026569</v>
      </c>
      <c r="J99" t="str">
        <f t="shared" ref="J99:J105" si="23">"127575"</f>
        <v>127575</v>
      </c>
      <c r="K99" t="s">
        <v>8</v>
      </c>
      <c r="L99">
        <v>91</v>
      </c>
      <c r="M99">
        <v>91</v>
      </c>
      <c r="N99">
        <v>0</v>
      </c>
      <c r="O99" s="1">
        <v>45583.559629629628</v>
      </c>
      <c r="P99" t="s">
        <v>119</v>
      </c>
    </row>
    <row r="100" spans="1:16" x14ac:dyDescent="0.3">
      <c r="A100" t="s">
        <v>25</v>
      </c>
      <c r="B100" s="1">
        <v>45583.559629629628</v>
      </c>
      <c r="C100" t="str">
        <f t="shared" si="22"/>
        <v>41</v>
      </c>
      <c r="D100" t="s">
        <v>120</v>
      </c>
      <c r="E100" t="s">
        <v>116</v>
      </c>
      <c r="F100" t="s">
        <v>117</v>
      </c>
      <c r="H100" t="s">
        <v>136</v>
      </c>
      <c r="I100" t="str">
        <f>"101050002026179"</f>
        <v>101050002026179</v>
      </c>
      <c r="J100" t="str">
        <f t="shared" si="23"/>
        <v>127575</v>
      </c>
      <c r="K100" t="s">
        <v>8</v>
      </c>
      <c r="L100">
        <v>91</v>
      </c>
      <c r="M100">
        <v>91</v>
      </c>
      <c r="N100">
        <v>0</v>
      </c>
      <c r="O100" s="1">
        <v>45583.559629629628</v>
      </c>
      <c r="P100" t="s">
        <v>119</v>
      </c>
    </row>
    <row r="101" spans="1:16" x14ac:dyDescent="0.3">
      <c r="A101" t="s">
        <v>25</v>
      </c>
      <c r="B101" s="1">
        <v>45583.559629629628</v>
      </c>
      <c r="C101" t="str">
        <f t="shared" si="22"/>
        <v>41</v>
      </c>
      <c r="D101" t="s">
        <v>120</v>
      </c>
      <c r="E101" t="s">
        <v>116</v>
      </c>
      <c r="F101" t="s">
        <v>117</v>
      </c>
      <c r="H101" t="s">
        <v>136</v>
      </c>
      <c r="I101" t="str">
        <f>"101050002026178"</f>
        <v>101050002026178</v>
      </c>
      <c r="J101" t="str">
        <f t="shared" si="23"/>
        <v>127575</v>
      </c>
      <c r="K101" t="s">
        <v>8</v>
      </c>
      <c r="L101">
        <v>91</v>
      </c>
      <c r="M101">
        <v>91</v>
      </c>
      <c r="N101">
        <v>0</v>
      </c>
      <c r="O101" s="1">
        <v>45583.559629629628</v>
      </c>
      <c r="P101" t="s">
        <v>119</v>
      </c>
    </row>
    <row r="102" spans="1:16" x14ac:dyDescent="0.3">
      <c r="A102" t="s">
        <v>25</v>
      </c>
      <c r="B102" s="1">
        <v>45583.559629629628</v>
      </c>
      <c r="C102" t="str">
        <f t="shared" si="22"/>
        <v>41</v>
      </c>
      <c r="D102" t="s">
        <v>120</v>
      </c>
      <c r="E102" t="s">
        <v>116</v>
      </c>
      <c r="F102" t="s">
        <v>117</v>
      </c>
      <c r="H102" t="s">
        <v>136</v>
      </c>
      <c r="I102" t="str">
        <f>"101050002026473"</f>
        <v>101050002026473</v>
      </c>
      <c r="J102" t="str">
        <f t="shared" si="23"/>
        <v>127575</v>
      </c>
      <c r="K102" t="s">
        <v>8</v>
      </c>
      <c r="L102">
        <v>91</v>
      </c>
      <c r="M102">
        <v>91</v>
      </c>
      <c r="N102">
        <v>0</v>
      </c>
      <c r="O102" s="1">
        <v>45583.559629629628</v>
      </c>
      <c r="P102" t="s">
        <v>119</v>
      </c>
    </row>
    <row r="103" spans="1:16" x14ac:dyDescent="0.3">
      <c r="A103" t="s">
        <v>25</v>
      </c>
      <c r="B103" s="1">
        <v>45583.559618055559</v>
      </c>
      <c r="C103" t="str">
        <f t="shared" si="22"/>
        <v>41</v>
      </c>
      <c r="D103" t="s">
        <v>120</v>
      </c>
      <c r="E103" t="s">
        <v>116</v>
      </c>
      <c r="F103" t="s">
        <v>117</v>
      </c>
      <c r="H103" t="s">
        <v>136</v>
      </c>
      <c r="I103" t="str">
        <f>"101050002024748"</f>
        <v>101050002024748</v>
      </c>
      <c r="J103" t="str">
        <f t="shared" si="23"/>
        <v>127575</v>
      </c>
      <c r="K103" t="s">
        <v>8</v>
      </c>
      <c r="L103">
        <v>91</v>
      </c>
      <c r="M103">
        <v>91</v>
      </c>
      <c r="N103">
        <v>0</v>
      </c>
      <c r="O103" s="1">
        <v>45583.559618055559</v>
      </c>
      <c r="P103" t="s">
        <v>119</v>
      </c>
    </row>
    <row r="104" spans="1:16" x14ac:dyDescent="0.3">
      <c r="A104" t="s">
        <v>25</v>
      </c>
      <c r="B104" s="1">
        <v>45583.559618055559</v>
      </c>
      <c r="C104" t="str">
        <f t="shared" si="22"/>
        <v>41</v>
      </c>
      <c r="D104" t="s">
        <v>120</v>
      </c>
      <c r="E104" t="s">
        <v>116</v>
      </c>
      <c r="F104" t="s">
        <v>117</v>
      </c>
      <c r="H104" t="s">
        <v>136</v>
      </c>
      <c r="I104" t="str">
        <f>"101050002025270"</f>
        <v>101050002025270</v>
      </c>
      <c r="J104" t="str">
        <f t="shared" si="23"/>
        <v>127575</v>
      </c>
      <c r="K104" t="s">
        <v>8</v>
      </c>
      <c r="L104">
        <v>91</v>
      </c>
      <c r="M104">
        <v>91</v>
      </c>
      <c r="N104">
        <v>0</v>
      </c>
      <c r="O104" s="1">
        <v>45583.559618055559</v>
      </c>
      <c r="P104" t="s">
        <v>119</v>
      </c>
    </row>
    <row r="105" spans="1:16" x14ac:dyDescent="0.3">
      <c r="A105" t="s">
        <v>25</v>
      </c>
      <c r="B105" s="1">
        <v>45583.559618055559</v>
      </c>
      <c r="C105" t="str">
        <f t="shared" si="22"/>
        <v>41</v>
      </c>
      <c r="D105" t="s">
        <v>120</v>
      </c>
      <c r="E105" t="s">
        <v>116</v>
      </c>
      <c r="F105" t="s">
        <v>117</v>
      </c>
      <c r="H105" t="s">
        <v>136</v>
      </c>
      <c r="I105" t="str">
        <f>"101050002025906"</f>
        <v>101050002025906</v>
      </c>
      <c r="J105" t="str">
        <f t="shared" si="23"/>
        <v>127575</v>
      </c>
      <c r="K105" t="s">
        <v>8</v>
      </c>
      <c r="L105">
        <v>91</v>
      </c>
      <c r="M105">
        <v>91</v>
      </c>
      <c r="N105">
        <v>0</v>
      </c>
      <c r="O105" s="1">
        <v>45583.559618055559</v>
      </c>
      <c r="P105" t="s">
        <v>119</v>
      </c>
    </row>
    <row r="106" spans="1:16" x14ac:dyDescent="0.3">
      <c r="A106" t="s">
        <v>25</v>
      </c>
      <c r="B106" s="1">
        <v>45583.559178240743</v>
      </c>
      <c r="C106" t="str">
        <f>"38"</f>
        <v>38</v>
      </c>
      <c r="D106" t="s">
        <v>115</v>
      </c>
      <c r="E106" t="s">
        <v>116</v>
      </c>
      <c r="F106" t="s">
        <v>117</v>
      </c>
      <c r="H106" t="s">
        <v>137</v>
      </c>
      <c r="L106">
        <v>0</v>
      </c>
      <c r="M106">
        <v>0</v>
      </c>
      <c r="N106">
        <v>0</v>
      </c>
      <c r="O106" s="1">
        <v>45583.559178240743</v>
      </c>
      <c r="P106" t="s">
        <v>138</v>
      </c>
    </row>
    <row r="107" spans="1:16" x14ac:dyDescent="0.3">
      <c r="A107" t="s">
        <v>25</v>
      </c>
      <c r="B107" s="1">
        <v>45583.559178240743</v>
      </c>
      <c r="C107" t="str">
        <f>"41"</f>
        <v>41</v>
      </c>
      <c r="D107" t="s">
        <v>120</v>
      </c>
      <c r="E107" t="s">
        <v>116</v>
      </c>
      <c r="F107" t="s">
        <v>117</v>
      </c>
      <c r="H107" t="s">
        <v>137</v>
      </c>
      <c r="I107" t="str">
        <f>"101050001987083"</f>
        <v>101050001987083</v>
      </c>
      <c r="J107" t="str">
        <f>"123052"</f>
        <v>123052</v>
      </c>
      <c r="K107" t="s">
        <v>28</v>
      </c>
      <c r="L107">
        <v>49</v>
      </c>
      <c r="M107">
        <v>49</v>
      </c>
      <c r="N107">
        <v>0</v>
      </c>
      <c r="O107" s="1">
        <v>45583.559178240743</v>
      </c>
      <c r="P107" t="s">
        <v>138</v>
      </c>
    </row>
    <row r="108" spans="1:16" x14ac:dyDescent="0.3">
      <c r="A108" t="s">
        <v>25</v>
      </c>
      <c r="B108" s="1">
        <v>45583.559178240743</v>
      </c>
      <c r="C108" t="str">
        <f>"41"</f>
        <v>41</v>
      </c>
      <c r="D108" t="s">
        <v>120</v>
      </c>
      <c r="E108" t="s">
        <v>116</v>
      </c>
      <c r="F108" t="s">
        <v>117</v>
      </c>
      <c r="H108" t="s">
        <v>137</v>
      </c>
      <c r="I108" t="str">
        <f>"101050001987473"</f>
        <v>101050001987473</v>
      </c>
      <c r="J108" t="str">
        <f>"123052"</f>
        <v>123052</v>
      </c>
      <c r="K108" t="s">
        <v>28</v>
      </c>
      <c r="L108">
        <v>49</v>
      </c>
      <c r="M108">
        <v>49</v>
      </c>
      <c r="N108">
        <v>0</v>
      </c>
      <c r="O108" s="1">
        <v>45583.559178240743</v>
      </c>
      <c r="P108" t="s">
        <v>138</v>
      </c>
    </row>
    <row r="109" spans="1:16" x14ac:dyDescent="0.3">
      <c r="A109" t="s">
        <v>25</v>
      </c>
      <c r="B109" s="1">
        <v>45583.559432870374</v>
      </c>
      <c r="C109" t="str">
        <f>"38"</f>
        <v>38</v>
      </c>
      <c r="D109" t="s">
        <v>115</v>
      </c>
      <c r="E109" t="s">
        <v>116</v>
      </c>
      <c r="F109" t="s">
        <v>117</v>
      </c>
      <c r="H109" t="s">
        <v>139</v>
      </c>
      <c r="L109">
        <v>0</v>
      </c>
      <c r="M109">
        <v>0</v>
      </c>
      <c r="N109">
        <v>0</v>
      </c>
      <c r="O109" s="1">
        <v>45583.559432870374</v>
      </c>
      <c r="P109" t="s">
        <v>132</v>
      </c>
    </row>
    <row r="110" spans="1:16" x14ac:dyDescent="0.3">
      <c r="A110" t="s">
        <v>25</v>
      </c>
      <c r="B110" s="1">
        <v>45583.559432870374</v>
      </c>
      <c r="C110" t="str">
        <f>"41"</f>
        <v>41</v>
      </c>
      <c r="D110" t="s">
        <v>120</v>
      </c>
      <c r="E110" t="s">
        <v>116</v>
      </c>
      <c r="F110" t="s">
        <v>117</v>
      </c>
      <c r="H110" t="s">
        <v>139</v>
      </c>
      <c r="I110" t="str">
        <f>"101050002023945"</f>
        <v>101050002023945</v>
      </c>
      <c r="J110" t="str">
        <f>"127436"</f>
        <v>127436</v>
      </c>
      <c r="K110" t="s">
        <v>59</v>
      </c>
      <c r="L110">
        <v>91</v>
      </c>
      <c r="M110">
        <v>91</v>
      </c>
      <c r="N110">
        <v>0</v>
      </c>
      <c r="O110" s="1">
        <v>45583.559432870374</v>
      </c>
      <c r="P110" t="s">
        <v>132</v>
      </c>
    </row>
    <row r="111" spans="1:16" x14ac:dyDescent="0.3">
      <c r="A111" t="s">
        <v>25</v>
      </c>
      <c r="B111" s="1">
        <v>45583.559432870374</v>
      </c>
      <c r="C111" t="str">
        <f>"41"</f>
        <v>41</v>
      </c>
      <c r="D111" t="s">
        <v>120</v>
      </c>
      <c r="E111" t="s">
        <v>116</v>
      </c>
      <c r="F111" t="s">
        <v>117</v>
      </c>
      <c r="H111" t="s">
        <v>139</v>
      </c>
      <c r="I111" t="str">
        <f>"101050002024007"</f>
        <v>101050002024007</v>
      </c>
      <c r="J111" t="str">
        <f>"127436"</f>
        <v>127436</v>
      </c>
      <c r="K111" t="s">
        <v>59</v>
      </c>
      <c r="L111">
        <v>91</v>
      </c>
      <c r="M111">
        <v>91</v>
      </c>
      <c r="N111">
        <v>0</v>
      </c>
      <c r="O111" s="1">
        <v>45583.559432870374</v>
      </c>
      <c r="P111" t="s">
        <v>132</v>
      </c>
    </row>
    <row r="112" spans="1:16" x14ac:dyDescent="0.3">
      <c r="A112" t="s">
        <v>25</v>
      </c>
      <c r="B112" s="1">
        <v>45583.559421296297</v>
      </c>
      <c r="C112" t="str">
        <f>"41"</f>
        <v>41</v>
      </c>
      <c r="D112" t="s">
        <v>120</v>
      </c>
      <c r="E112" t="s">
        <v>116</v>
      </c>
      <c r="F112" t="s">
        <v>117</v>
      </c>
      <c r="H112" t="s">
        <v>139</v>
      </c>
      <c r="I112" t="str">
        <f>"101050002024006"</f>
        <v>101050002024006</v>
      </c>
      <c r="J112" t="str">
        <f>"127436"</f>
        <v>127436</v>
      </c>
      <c r="K112" t="s">
        <v>59</v>
      </c>
      <c r="L112">
        <v>91</v>
      </c>
      <c r="M112">
        <v>91</v>
      </c>
      <c r="N112">
        <v>0</v>
      </c>
      <c r="O112" s="1">
        <v>45583.559421296297</v>
      </c>
      <c r="P112" t="s">
        <v>132</v>
      </c>
    </row>
    <row r="113" spans="1:16" x14ac:dyDescent="0.3">
      <c r="A113" t="s">
        <v>25</v>
      </c>
      <c r="B113" s="1">
        <v>45583.558819444443</v>
      </c>
      <c r="C113" t="str">
        <f>"38"</f>
        <v>38</v>
      </c>
      <c r="D113" t="s">
        <v>115</v>
      </c>
      <c r="E113" t="s">
        <v>116</v>
      </c>
      <c r="F113" t="s">
        <v>117</v>
      </c>
      <c r="H113" t="s">
        <v>140</v>
      </c>
      <c r="L113">
        <v>0</v>
      </c>
      <c r="M113">
        <v>0</v>
      </c>
      <c r="N113">
        <v>0</v>
      </c>
      <c r="O113" s="1">
        <v>45583.558819444443</v>
      </c>
      <c r="P113" t="s">
        <v>132</v>
      </c>
    </row>
    <row r="114" spans="1:16" x14ac:dyDescent="0.3">
      <c r="A114" t="s">
        <v>25</v>
      </c>
      <c r="B114" s="1">
        <v>45583.558819444443</v>
      </c>
      <c r="C114" t="str">
        <f>"41"</f>
        <v>41</v>
      </c>
      <c r="D114" t="s">
        <v>120</v>
      </c>
      <c r="E114" t="s">
        <v>116</v>
      </c>
      <c r="F114" t="s">
        <v>117</v>
      </c>
      <c r="H114" t="s">
        <v>140</v>
      </c>
      <c r="I114" t="str">
        <f>"101050002020423"</f>
        <v>101050002020423</v>
      </c>
      <c r="J114" t="str">
        <f>"127925"</f>
        <v>127925</v>
      </c>
      <c r="K114" t="s">
        <v>7</v>
      </c>
      <c r="L114">
        <v>110</v>
      </c>
      <c r="M114">
        <v>110</v>
      </c>
      <c r="N114">
        <v>0</v>
      </c>
      <c r="O114" s="1">
        <v>45583.558819444443</v>
      </c>
      <c r="P114" t="s">
        <v>132</v>
      </c>
    </row>
    <row r="115" spans="1:16" x14ac:dyDescent="0.3">
      <c r="A115" t="s">
        <v>25</v>
      </c>
      <c r="B115" s="1">
        <v>45583.558819444443</v>
      </c>
      <c r="C115" t="str">
        <f>"41"</f>
        <v>41</v>
      </c>
      <c r="D115" t="s">
        <v>120</v>
      </c>
      <c r="E115" t="s">
        <v>116</v>
      </c>
      <c r="F115" t="s">
        <v>117</v>
      </c>
      <c r="H115" t="s">
        <v>140</v>
      </c>
      <c r="I115" t="str">
        <f>"101050002020085"</f>
        <v>101050002020085</v>
      </c>
      <c r="J115" t="str">
        <f>"127925"</f>
        <v>127925</v>
      </c>
      <c r="K115" t="s">
        <v>7</v>
      </c>
      <c r="L115">
        <v>110</v>
      </c>
      <c r="M115">
        <v>110</v>
      </c>
      <c r="N115">
        <v>0</v>
      </c>
      <c r="O115" s="1">
        <v>45583.558819444443</v>
      </c>
      <c r="P115" t="s">
        <v>132</v>
      </c>
    </row>
    <row r="116" spans="1:16" x14ac:dyDescent="0.3">
      <c r="A116" t="s">
        <v>25</v>
      </c>
      <c r="B116" s="1">
        <v>45583.558807870373</v>
      </c>
      <c r="C116" t="str">
        <f>"38"</f>
        <v>38</v>
      </c>
      <c r="D116" t="s">
        <v>115</v>
      </c>
      <c r="E116" t="s">
        <v>116</v>
      </c>
      <c r="F116" t="s">
        <v>117</v>
      </c>
      <c r="H116" t="s">
        <v>141</v>
      </c>
      <c r="L116">
        <v>0</v>
      </c>
      <c r="M116">
        <v>0</v>
      </c>
      <c r="N116">
        <v>0</v>
      </c>
      <c r="O116" s="1">
        <v>45583.558807870373</v>
      </c>
      <c r="P116" t="s">
        <v>125</v>
      </c>
    </row>
    <row r="117" spans="1:16" x14ac:dyDescent="0.3">
      <c r="A117" t="s">
        <v>25</v>
      </c>
      <c r="B117" s="1">
        <v>45583.558807870373</v>
      </c>
      <c r="C117" t="str">
        <f t="shared" ref="C117:C125" si="24">"41"</f>
        <v>41</v>
      </c>
      <c r="D117" t="s">
        <v>120</v>
      </c>
      <c r="E117" t="s">
        <v>116</v>
      </c>
      <c r="F117" t="s">
        <v>117</v>
      </c>
      <c r="H117" t="s">
        <v>141</v>
      </c>
      <c r="I117" t="str">
        <f>"101050002027466"</f>
        <v>101050002027466</v>
      </c>
      <c r="J117" t="str">
        <f t="shared" ref="J117:J123" si="25">"515120"</f>
        <v>515120</v>
      </c>
      <c r="K117" t="s">
        <v>2</v>
      </c>
      <c r="L117">
        <v>49</v>
      </c>
      <c r="M117">
        <v>49</v>
      </c>
      <c r="N117">
        <v>0</v>
      </c>
      <c r="O117" s="1">
        <v>45583.558807870373</v>
      </c>
      <c r="P117" t="s">
        <v>125</v>
      </c>
    </row>
    <row r="118" spans="1:16" x14ac:dyDescent="0.3">
      <c r="A118" t="s">
        <v>25</v>
      </c>
      <c r="B118" s="1">
        <v>45583.558807870373</v>
      </c>
      <c r="C118" t="str">
        <f t="shared" si="24"/>
        <v>41</v>
      </c>
      <c r="D118" t="s">
        <v>120</v>
      </c>
      <c r="E118" t="s">
        <v>116</v>
      </c>
      <c r="F118" t="s">
        <v>117</v>
      </c>
      <c r="H118" t="s">
        <v>141</v>
      </c>
      <c r="I118" t="str">
        <f>"101050002027423"</f>
        <v>101050002027423</v>
      </c>
      <c r="J118" t="str">
        <f t="shared" si="25"/>
        <v>515120</v>
      </c>
      <c r="K118" t="s">
        <v>2</v>
      </c>
      <c r="L118">
        <v>49</v>
      </c>
      <c r="M118">
        <v>49</v>
      </c>
      <c r="N118">
        <v>0</v>
      </c>
      <c r="O118" s="1">
        <v>45583.558807870373</v>
      </c>
      <c r="P118" t="s">
        <v>125</v>
      </c>
    </row>
    <row r="119" spans="1:16" x14ac:dyDescent="0.3">
      <c r="A119" t="s">
        <v>25</v>
      </c>
      <c r="B119" s="1">
        <v>45583.558807870373</v>
      </c>
      <c r="C119" t="str">
        <f t="shared" si="24"/>
        <v>41</v>
      </c>
      <c r="D119" t="s">
        <v>120</v>
      </c>
      <c r="E119" t="s">
        <v>116</v>
      </c>
      <c r="F119" t="s">
        <v>117</v>
      </c>
      <c r="H119" t="s">
        <v>141</v>
      </c>
      <c r="I119" t="str">
        <f>"101050002026989"</f>
        <v>101050002026989</v>
      </c>
      <c r="J119" t="str">
        <f t="shared" si="25"/>
        <v>515120</v>
      </c>
      <c r="K119" t="s">
        <v>2</v>
      </c>
      <c r="L119">
        <v>49</v>
      </c>
      <c r="M119">
        <v>49</v>
      </c>
      <c r="N119">
        <v>0</v>
      </c>
      <c r="O119" s="1">
        <v>45583.558807870373</v>
      </c>
      <c r="P119" t="s">
        <v>125</v>
      </c>
    </row>
    <row r="120" spans="1:16" x14ac:dyDescent="0.3">
      <c r="A120" t="s">
        <v>25</v>
      </c>
      <c r="B120" s="1">
        <v>45583.558807870373</v>
      </c>
      <c r="C120" t="str">
        <f t="shared" si="24"/>
        <v>41</v>
      </c>
      <c r="D120" t="s">
        <v>120</v>
      </c>
      <c r="E120" t="s">
        <v>116</v>
      </c>
      <c r="F120" t="s">
        <v>117</v>
      </c>
      <c r="H120" t="s">
        <v>141</v>
      </c>
      <c r="I120" t="str">
        <f>"101050002027465"</f>
        <v>101050002027465</v>
      </c>
      <c r="J120" t="str">
        <f t="shared" si="25"/>
        <v>515120</v>
      </c>
      <c r="K120" t="s">
        <v>2</v>
      </c>
      <c r="L120">
        <v>49</v>
      </c>
      <c r="M120">
        <v>49</v>
      </c>
      <c r="N120">
        <v>0</v>
      </c>
      <c r="O120" s="1">
        <v>45583.558807870373</v>
      </c>
      <c r="P120" t="s">
        <v>125</v>
      </c>
    </row>
    <row r="121" spans="1:16" x14ac:dyDescent="0.3">
      <c r="A121" t="s">
        <v>25</v>
      </c>
      <c r="B121" s="1">
        <v>45583.558796296296</v>
      </c>
      <c r="C121" t="str">
        <f t="shared" si="24"/>
        <v>41</v>
      </c>
      <c r="D121" t="s">
        <v>120</v>
      </c>
      <c r="E121" t="s">
        <v>116</v>
      </c>
      <c r="F121" t="s">
        <v>117</v>
      </c>
      <c r="H121" t="s">
        <v>141</v>
      </c>
      <c r="I121" t="str">
        <f>"101050002027481"</f>
        <v>101050002027481</v>
      </c>
      <c r="J121" t="str">
        <f t="shared" si="25"/>
        <v>515120</v>
      </c>
      <c r="K121" t="s">
        <v>2</v>
      </c>
      <c r="L121">
        <v>49</v>
      </c>
      <c r="M121">
        <v>49</v>
      </c>
      <c r="N121">
        <v>0</v>
      </c>
      <c r="O121" s="1">
        <v>45583.558796296296</v>
      </c>
      <c r="P121" t="s">
        <v>125</v>
      </c>
    </row>
    <row r="122" spans="1:16" x14ac:dyDescent="0.3">
      <c r="A122" t="s">
        <v>25</v>
      </c>
      <c r="B122" s="1">
        <v>45583.558796296296</v>
      </c>
      <c r="C122" t="str">
        <f t="shared" si="24"/>
        <v>41</v>
      </c>
      <c r="D122" t="s">
        <v>120</v>
      </c>
      <c r="E122" t="s">
        <v>116</v>
      </c>
      <c r="F122" t="s">
        <v>117</v>
      </c>
      <c r="H122" t="s">
        <v>141</v>
      </c>
      <c r="I122" t="str">
        <f>"101050002027029"</f>
        <v>101050002027029</v>
      </c>
      <c r="J122" t="str">
        <f t="shared" si="25"/>
        <v>515120</v>
      </c>
      <c r="K122" t="s">
        <v>2</v>
      </c>
      <c r="L122">
        <v>49</v>
      </c>
      <c r="M122">
        <v>49</v>
      </c>
      <c r="N122">
        <v>0</v>
      </c>
      <c r="O122" s="1">
        <v>45583.558796296296</v>
      </c>
      <c r="P122" t="s">
        <v>125</v>
      </c>
    </row>
    <row r="123" spans="1:16" x14ac:dyDescent="0.3">
      <c r="A123" t="s">
        <v>25</v>
      </c>
      <c r="B123" s="1">
        <v>45583.558796296296</v>
      </c>
      <c r="C123" t="str">
        <f t="shared" si="24"/>
        <v>41</v>
      </c>
      <c r="D123" t="s">
        <v>120</v>
      </c>
      <c r="E123" t="s">
        <v>116</v>
      </c>
      <c r="F123" t="s">
        <v>117</v>
      </c>
      <c r="H123" t="s">
        <v>141</v>
      </c>
      <c r="I123" t="str">
        <f>"101050002027130"</f>
        <v>101050002027130</v>
      </c>
      <c r="J123" t="str">
        <f t="shared" si="25"/>
        <v>515120</v>
      </c>
      <c r="K123" t="s">
        <v>2</v>
      </c>
      <c r="L123">
        <v>49</v>
      </c>
      <c r="M123">
        <v>49</v>
      </c>
      <c r="N123">
        <v>0</v>
      </c>
      <c r="O123" s="1">
        <v>45583.558796296296</v>
      </c>
      <c r="P123" t="s">
        <v>125</v>
      </c>
    </row>
    <row r="124" spans="1:16" x14ac:dyDescent="0.3">
      <c r="A124" t="s">
        <v>25</v>
      </c>
      <c r="B124" s="1">
        <v>45583.558819444443</v>
      </c>
      <c r="C124" t="str">
        <f t="shared" si="24"/>
        <v>41</v>
      </c>
      <c r="D124" t="s">
        <v>120</v>
      </c>
      <c r="E124" t="s">
        <v>116</v>
      </c>
      <c r="F124" t="s">
        <v>117</v>
      </c>
      <c r="H124" t="s">
        <v>140</v>
      </c>
      <c r="I124" t="str">
        <f>"101050002020148"</f>
        <v>101050002020148</v>
      </c>
      <c r="J124" t="str">
        <f>"127925"</f>
        <v>127925</v>
      </c>
      <c r="K124" t="s">
        <v>7</v>
      </c>
      <c r="L124">
        <v>110</v>
      </c>
      <c r="M124">
        <v>110</v>
      </c>
      <c r="N124">
        <v>0</v>
      </c>
      <c r="O124" s="1">
        <v>45583.558819444443</v>
      </c>
      <c r="P124" t="s">
        <v>132</v>
      </c>
    </row>
    <row r="125" spans="1:16" x14ac:dyDescent="0.3">
      <c r="A125" t="s">
        <v>25</v>
      </c>
      <c r="B125" s="1">
        <v>45583.558819444443</v>
      </c>
      <c r="C125" t="str">
        <f t="shared" si="24"/>
        <v>41</v>
      </c>
      <c r="D125" t="s">
        <v>120</v>
      </c>
      <c r="E125" t="s">
        <v>116</v>
      </c>
      <c r="F125" t="s">
        <v>117</v>
      </c>
      <c r="H125" t="s">
        <v>140</v>
      </c>
      <c r="I125" t="str">
        <f>"101050002020149"</f>
        <v>101050002020149</v>
      </c>
      <c r="J125" t="str">
        <f>"127925"</f>
        <v>127925</v>
      </c>
      <c r="K125" t="s">
        <v>7</v>
      </c>
      <c r="L125">
        <v>110</v>
      </c>
      <c r="M125">
        <v>110</v>
      </c>
      <c r="N125">
        <v>0</v>
      </c>
      <c r="O125" s="1">
        <v>45583.558819444443</v>
      </c>
      <c r="P125" t="s">
        <v>132</v>
      </c>
    </row>
    <row r="126" spans="1:16" x14ac:dyDescent="0.3">
      <c r="A126" t="s">
        <v>25</v>
      </c>
      <c r="B126" s="1">
        <v>45583.55878472222</v>
      </c>
      <c r="C126" t="str">
        <f>"38"</f>
        <v>38</v>
      </c>
      <c r="D126" t="s">
        <v>115</v>
      </c>
      <c r="E126" t="s">
        <v>116</v>
      </c>
      <c r="F126" t="s">
        <v>117</v>
      </c>
      <c r="H126" t="s">
        <v>142</v>
      </c>
      <c r="L126">
        <v>0</v>
      </c>
      <c r="M126">
        <v>0</v>
      </c>
      <c r="N126">
        <v>0</v>
      </c>
      <c r="O126" s="1">
        <v>45583.55878472222</v>
      </c>
      <c r="P126" t="s">
        <v>138</v>
      </c>
    </row>
    <row r="127" spans="1:16" x14ac:dyDescent="0.3">
      <c r="A127" t="s">
        <v>25</v>
      </c>
      <c r="B127" s="1">
        <v>45583.55878472222</v>
      </c>
      <c r="C127" t="str">
        <f>"41"</f>
        <v>41</v>
      </c>
      <c r="D127" t="s">
        <v>120</v>
      </c>
      <c r="E127" t="s">
        <v>116</v>
      </c>
      <c r="F127" t="s">
        <v>117</v>
      </c>
      <c r="H127" t="s">
        <v>142</v>
      </c>
      <c r="I127" t="str">
        <f>"101050001990167"</f>
        <v>101050001990167</v>
      </c>
      <c r="J127" t="str">
        <f>"514988"</f>
        <v>514988</v>
      </c>
      <c r="K127" t="s">
        <v>94</v>
      </c>
      <c r="L127">
        <v>49</v>
      </c>
      <c r="M127">
        <v>49</v>
      </c>
      <c r="N127">
        <v>0</v>
      </c>
      <c r="O127" s="1">
        <v>45583.55878472222</v>
      </c>
      <c r="P127" t="s">
        <v>138</v>
      </c>
    </row>
    <row r="128" spans="1:16" x14ac:dyDescent="0.3">
      <c r="A128" t="s">
        <v>25</v>
      </c>
      <c r="B128" s="1">
        <v>45583.55878472222</v>
      </c>
      <c r="C128" t="str">
        <f>"41"</f>
        <v>41</v>
      </c>
      <c r="D128" t="s">
        <v>120</v>
      </c>
      <c r="E128" t="s">
        <v>116</v>
      </c>
      <c r="F128" t="s">
        <v>117</v>
      </c>
      <c r="H128" t="s">
        <v>142</v>
      </c>
      <c r="I128" t="str">
        <f>"101050001979382"</f>
        <v>101050001979382</v>
      </c>
      <c r="J128" t="str">
        <f>"514988"</f>
        <v>514988</v>
      </c>
      <c r="K128" t="s">
        <v>94</v>
      </c>
      <c r="L128">
        <v>49</v>
      </c>
      <c r="M128">
        <v>49</v>
      </c>
      <c r="N128">
        <v>0</v>
      </c>
      <c r="O128" s="1">
        <v>45583.55878472222</v>
      </c>
      <c r="P128" t="s">
        <v>138</v>
      </c>
    </row>
    <row r="129" spans="1:16" x14ac:dyDescent="0.3">
      <c r="A129" t="s">
        <v>25</v>
      </c>
      <c r="B129" s="1">
        <v>45583.558622685188</v>
      </c>
      <c r="C129" t="str">
        <f>"38"</f>
        <v>38</v>
      </c>
      <c r="D129" t="s">
        <v>115</v>
      </c>
      <c r="E129" t="s">
        <v>116</v>
      </c>
      <c r="F129" t="s">
        <v>117</v>
      </c>
      <c r="H129" t="s">
        <v>143</v>
      </c>
      <c r="L129">
        <v>0</v>
      </c>
      <c r="M129">
        <v>0</v>
      </c>
      <c r="N129">
        <v>0</v>
      </c>
      <c r="O129" s="1">
        <v>45583.558622685188</v>
      </c>
      <c r="P129" t="s">
        <v>119</v>
      </c>
    </row>
    <row r="130" spans="1:16" x14ac:dyDescent="0.3">
      <c r="A130" t="s">
        <v>25</v>
      </c>
      <c r="B130" s="1">
        <v>45583.558622685188</v>
      </c>
      <c r="C130" t="str">
        <f t="shared" ref="C130:C136" si="26">"41"</f>
        <v>41</v>
      </c>
      <c r="D130" t="s">
        <v>120</v>
      </c>
      <c r="E130" t="s">
        <v>116</v>
      </c>
      <c r="F130" t="s">
        <v>117</v>
      </c>
      <c r="H130" t="s">
        <v>143</v>
      </c>
      <c r="I130" t="str">
        <f>"101050002025132"</f>
        <v>101050002025132</v>
      </c>
      <c r="J130" t="str">
        <f t="shared" ref="J130:J136" si="27">"515123"</f>
        <v>515123</v>
      </c>
      <c r="K130" t="s">
        <v>19</v>
      </c>
      <c r="L130">
        <v>49</v>
      </c>
      <c r="M130">
        <v>49</v>
      </c>
      <c r="N130">
        <v>0</v>
      </c>
      <c r="O130" s="1">
        <v>45583.558622685188</v>
      </c>
      <c r="P130" t="s">
        <v>119</v>
      </c>
    </row>
    <row r="131" spans="1:16" x14ac:dyDescent="0.3">
      <c r="A131" t="s">
        <v>25</v>
      </c>
      <c r="B131" s="1">
        <v>45583.558622685188</v>
      </c>
      <c r="C131" t="str">
        <f t="shared" si="26"/>
        <v>41</v>
      </c>
      <c r="D131" t="s">
        <v>120</v>
      </c>
      <c r="E131" t="s">
        <v>116</v>
      </c>
      <c r="F131" t="s">
        <v>117</v>
      </c>
      <c r="H131" t="s">
        <v>143</v>
      </c>
      <c r="I131" t="str">
        <f>"101050002025225"</f>
        <v>101050002025225</v>
      </c>
      <c r="J131" t="str">
        <f t="shared" si="27"/>
        <v>515123</v>
      </c>
      <c r="K131" t="s">
        <v>19</v>
      </c>
      <c r="L131">
        <v>49</v>
      </c>
      <c r="M131">
        <v>49</v>
      </c>
      <c r="N131">
        <v>0</v>
      </c>
      <c r="O131" s="1">
        <v>45583.558622685188</v>
      </c>
      <c r="P131" t="s">
        <v>119</v>
      </c>
    </row>
    <row r="132" spans="1:16" x14ac:dyDescent="0.3">
      <c r="A132" t="s">
        <v>25</v>
      </c>
      <c r="B132" s="1">
        <v>45583.558622685188</v>
      </c>
      <c r="C132" t="str">
        <f t="shared" si="26"/>
        <v>41</v>
      </c>
      <c r="D132" t="s">
        <v>120</v>
      </c>
      <c r="E132" t="s">
        <v>116</v>
      </c>
      <c r="F132" t="s">
        <v>117</v>
      </c>
      <c r="H132" t="s">
        <v>143</v>
      </c>
      <c r="I132" t="str">
        <f>"101050002024559"</f>
        <v>101050002024559</v>
      </c>
      <c r="J132" t="str">
        <f t="shared" si="27"/>
        <v>515123</v>
      </c>
      <c r="K132" t="s">
        <v>19</v>
      </c>
      <c r="L132">
        <v>49</v>
      </c>
      <c r="M132">
        <v>49</v>
      </c>
      <c r="N132">
        <v>0</v>
      </c>
      <c r="O132" s="1">
        <v>45583.558622685188</v>
      </c>
      <c r="P132" t="s">
        <v>119</v>
      </c>
    </row>
    <row r="133" spans="1:16" x14ac:dyDescent="0.3">
      <c r="A133" t="s">
        <v>25</v>
      </c>
      <c r="B133" s="1">
        <v>45583.558622685188</v>
      </c>
      <c r="C133" t="str">
        <f t="shared" si="26"/>
        <v>41</v>
      </c>
      <c r="D133" t="s">
        <v>120</v>
      </c>
      <c r="E133" t="s">
        <v>116</v>
      </c>
      <c r="F133" t="s">
        <v>117</v>
      </c>
      <c r="H133" t="s">
        <v>143</v>
      </c>
      <c r="I133" t="str">
        <f>"101050002024384"</f>
        <v>101050002024384</v>
      </c>
      <c r="J133" t="str">
        <f t="shared" si="27"/>
        <v>515123</v>
      </c>
      <c r="K133" t="s">
        <v>19</v>
      </c>
      <c r="L133">
        <v>49</v>
      </c>
      <c r="M133">
        <v>49</v>
      </c>
      <c r="N133">
        <v>0</v>
      </c>
      <c r="O133" s="1">
        <v>45583.558622685188</v>
      </c>
      <c r="P133" t="s">
        <v>119</v>
      </c>
    </row>
    <row r="134" spans="1:16" x14ac:dyDescent="0.3">
      <c r="A134" t="s">
        <v>25</v>
      </c>
      <c r="B134" s="1">
        <v>45583.558611111112</v>
      </c>
      <c r="C134" t="str">
        <f t="shared" si="26"/>
        <v>41</v>
      </c>
      <c r="D134" t="s">
        <v>120</v>
      </c>
      <c r="E134" t="s">
        <v>116</v>
      </c>
      <c r="F134" t="s">
        <v>117</v>
      </c>
      <c r="H134" t="s">
        <v>143</v>
      </c>
      <c r="I134" t="str">
        <f>"101050002018732"</f>
        <v>101050002018732</v>
      </c>
      <c r="J134" t="str">
        <f t="shared" si="27"/>
        <v>515123</v>
      </c>
      <c r="K134" t="s">
        <v>19</v>
      </c>
      <c r="L134">
        <v>49</v>
      </c>
      <c r="M134">
        <v>49</v>
      </c>
      <c r="N134">
        <v>0</v>
      </c>
      <c r="O134" s="1">
        <v>45583.558611111112</v>
      </c>
      <c r="P134" t="s">
        <v>119</v>
      </c>
    </row>
    <row r="135" spans="1:16" x14ac:dyDescent="0.3">
      <c r="A135" t="s">
        <v>25</v>
      </c>
      <c r="B135" s="1">
        <v>45583.558611111112</v>
      </c>
      <c r="C135" t="str">
        <f t="shared" si="26"/>
        <v>41</v>
      </c>
      <c r="D135" t="s">
        <v>120</v>
      </c>
      <c r="E135" t="s">
        <v>116</v>
      </c>
      <c r="F135" t="s">
        <v>117</v>
      </c>
      <c r="H135" t="s">
        <v>143</v>
      </c>
      <c r="I135" t="str">
        <f>"101050002019059"</f>
        <v>101050002019059</v>
      </c>
      <c r="J135" t="str">
        <f t="shared" si="27"/>
        <v>515123</v>
      </c>
      <c r="K135" t="s">
        <v>19</v>
      </c>
      <c r="L135">
        <v>49</v>
      </c>
      <c r="M135">
        <v>49</v>
      </c>
      <c r="N135">
        <v>0</v>
      </c>
      <c r="O135" s="1">
        <v>45583.558611111112</v>
      </c>
      <c r="P135" t="s">
        <v>119</v>
      </c>
    </row>
    <row r="136" spans="1:16" x14ac:dyDescent="0.3">
      <c r="A136" t="s">
        <v>25</v>
      </c>
      <c r="B136" s="1">
        <v>45583.558611111112</v>
      </c>
      <c r="C136" t="str">
        <f t="shared" si="26"/>
        <v>41</v>
      </c>
      <c r="D136" t="s">
        <v>120</v>
      </c>
      <c r="E136" t="s">
        <v>116</v>
      </c>
      <c r="F136" t="s">
        <v>117</v>
      </c>
      <c r="H136" t="s">
        <v>143</v>
      </c>
      <c r="I136" t="str">
        <f>"101050002018431"</f>
        <v>101050002018431</v>
      </c>
      <c r="J136" t="str">
        <f t="shared" si="27"/>
        <v>515123</v>
      </c>
      <c r="K136" t="s">
        <v>19</v>
      </c>
      <c r="L136">
        <v>49</v>
      </c>
      <c r="M136">
        <v>49</v>
      </c>
      <c r="N136">
        <v>0</v>
      </c>
      <c r="O136" s="1">
        <v>45583.558611111112</v>
      </c>
      <c r="P136" t="s">
        <v>119</v>
      </c>
    </row>
    <row r="137" spans="1:16" x14ac:dyDescent="0.3">
      <c r="A137" t="s">
        <v>25</v>
      </c>
      <c r="B137" s="1">
        <v>45583.558182870373</v>
      </c>
      <c r="C137" t="str">
        <f>"38"</f>
        <v>38</v>
      </c>
      <c r="D137" t="s">
        <v>115</v>
      </c>
      <c r="E137" t="s">
        <v>116</v>
      </c>
      <c r="F137" t="s">
        <v>117</v>
      </c>
      <c r="H137" t="s">
        <v>144</v>
      </c>
      <c r="L137">
        <v>0</v>
      </c>
      <c r="M137">
        <v>0</v>
      </c>
      <c r="N137">
        <v>0</v>
      </c>
      <c r="O137" s="1">
        <v>45583.558182870373</v>
      </c>
      <c r="P137" t="s">
        <v>138</v>
      </c>
    </row>
    <row r="138" spans="1:16" x14ac:dyDescent="0.3">
      <c r="A138" t="s">
        <v>25</v>
      </c>
      <c r="B138" s="1">
        <v>45583.558182870373</v>
      </c>
      <c r="C138" t="str">
        <f t="shared" ref="C138:C144" si="28">"41"</f>
        <v>41</v>
      </c>
      <c r="D138" t="s">
        <v>120</v>
      </c>
      <c r="E138" t="s">
        <v>116</v>
      </c>
      <c r="F138" t="s">
        <v>117</v>
      </c>
      <c r="H138" t="s">
        <v>144</v>
      </c>
      <c r="I138" t="str">
        <f>"101050002023001"</f>
        <v>101050002023001</v>
      </c>
      <c r="J138" t="str">
        <f t="shared" ref="J138:J144" si="29">"127577"</f>
        <v>127577</v>
      </c>
      <c r="K138" t="s">
        <v>62</v>
      </c>
      <c r="L138">
        <v>91</v>
      </c>
      <c r="M138">
        <v>91</v>
      </c>
      <c r="N138">
        <v>0</v>
      </c>
      <c r="O138" s="1">
        <v>45583.558182870373</v>
      </c>
      <c r="P138" t="s">
        <v>138</v>
      </c>
    </row>
    <row r="139" spans="1:16" x14ac:dyDescent="0.3">
      <c r="A139" t="s">
        <v>25</v>
      </c>
      <c r="B139" s="1">
        <v>45583.558182870373</v>
      </c>
      <c r="C139" t="str">
        <f t="shared" si="28"/>
        <v>41</v>
      </c>
      <c r="D139" t="s">
        <v>120</v>
      </c>
      <c r="E139" t="s">
        <v>116</v>
      </c>
      <c r="F139" t="s">
        <v>117</v>
      </c>
      <c r="H139" t="s">
        <v>144</v>
      </c>
      <c r="I139" t="str">
        <f>"101050002023193"</f>
        <v>101050002023193</v>
      </c>
      <c r="J139" t="str">
        <f t="shared" si="29"/>
        <v>127577</v>
      </c>
      <c r="K139" t="s">
        <v>62</v>
      </c>
      <c r="L139">
        <v>91</v>
      </c>
      <c r="M139">
        <v>91</v>
      </c>
      <c r="N139">
        <v>0</v>
      </c>
      <c r="O139" s="1">
        <v>45583.558182870373</v>
      </c>
      <c r="P139" t="s">
        <v>138</v>
      </c>
    </row>
    <row r="140" spans="1:16" x14ac:dyDescent="0.3">
      <c r="A140" t="s">
        <v>25</v>
      </c>
      <c r="B140" s="1">
        <v>45583.558182870373</v>
      </c>
      <c r="C140" t="str">
        <f t="shared" si="28"/>
        <v>41</v>
      </c>
      <c r="D140" t="s">
        <v>120</v>
      </c>
      <c r="E140" t="s">
        <v>116</v>
      </c>
      <c r="F140" t="s">
        <v>117</v>
      </c>
      <c r="H140" t="s">
        <v>144</v>
      </c>
      <c r="I140" t="str">
        <f>"101050002023138"</f>
        <v>101050002023138</v>
      </c>
      <c r="J140" t="str">
        <f t="shared" si="29"/>
        <v>127577</v>
      </c>
      <c r="K140" t="s">
        <v>62</v>
      </c>
      <c r="L140">
        <v>91</v>
      </c>
      <c r="M140">
        <v>91</v>
      </c>
      <c r="N140">
        <v>0</v>
      </c>
      <c r="O140" s="1">
        <v>45583.558182870373</v>
      </c>
      <c r="P140" t="s">
        <v>138</v>
      </c>
    </row>
    <row r="141" spans="1:16" x14ac:dyDescent="0.3">
      <c r="A141" t="s">
        <v>25</v>
      </c>
      <c r="B141" s="1">
        <v>45583.558171296296</v>
      </c>
      <c r="C141" t="str">
        <f t="shared" si="28"/>
        <v>41</v>
      </c>
      <c r="D141" t="s">
        <v>120</v>
      </c>
      <c r="E141" t="s">
        <v>116</v>
      </c>
      <c r="F141" t="s">
        <v>117</v>
      </c>
      <c r="H141" t="s">
        <v>144</v>
      </c>
      <c r="I141" t="str">
        <f>"101050002023135"</f>
        <v>101050002023135</v>
      </c>
      <c r="J141" t="str">
        <f t="shared" si="29"/>
        <v>127577</v>
      </c>
      <c r="K141" t="s">
        <v>62</v>
      </c>
      <c r="L141">
        <v>91</v>
      </c>
      <c r="M141">
        <v>91</v>
      </c>
      <c r="N141">
        <v>0</v>
      </c>
      <c r="O141" s="1">
        <v>45583.558171296296</v>
      </c>
      <c r="P141" t="s">
        <v>138</v>
      </c>
    </row>
    <row r="142" spans="1:16" x14ac:dyDescent="0.3">
      <c r="A142" t="s">
        <v>25</v>
      </c>
      <c r="B142" s="1">
        <v>45583.558171296296</v>
      </c>
      <c r="C142" t="str">
        <f t="shared" si="28"/>
        <v>41</v>
      </c>
      <c r="D142" t="s">
        <v>120</v>
      </c>
      <c r="E142" t="s">
        <v>116</v>
      </c>
      <c r="F142" t="s">
        <v>117</v>
      </c>
      <c r="H142" t="s">
        <v>144</v>
      </c>
      <c r="I142" t="str">
        <f>"101050002022845"</f>
        <v>101050002022845</v>
      </c>
      <c r="J142" t="str">
        <f t="shared" si="29"/>
        <v>127577</v>
      </c>
      <c r="K142" t="s">
        <v>62</v>
      </c>
      <c r="L142">
        <v>91</v>
      </c>
      <c r="M142">
        <v>91</v>
      </c>
      <c r="N142">
        <v>0</v>
      </c>
      <c r="O142" s="1">
        <v>45583.558171296296</v>
      </c>
      <c r="P142" t="s">
        <v>138</v>
      </c>
    </row>
    <row r="143" spans="1:16" x14ac:dyDescent="0.3">
      <c r="A143" t="s">
        <v>25</v>
      </c>
      <c r="B143" s="1">
        <v>45583.558171296296</v>
      </c>
      <c r="C143" t="str">
        <f t="shared" si="28"/>
        <v>41</v>
      </c>
      <c r="D143" t="s">
        <v>120</v>
      </c>
      <c r="E143" t="s">
        <v>116</v>
      </c>
      <c r="F143" t="s">
        <v>117</v>
      </c>
      <c r="H143" t="s">
        <v>144</v>
      </c>
      <c r="I143" t="str">
        <f>"101050002023002"</f>
        <v>101050002023002</v>
      </c>
      <c r="J143" t="str">
        <f t="shared" si="29"/>
        <v>127577</v>
      </c>
      <c r="K143" t="s">
        <v>62</v>
      </c>
      <c r="L143">
        <v>91</v>
      </c>
      <c r="M143">
        <v>91</v>
      </c>
      <c r="N143">
        <v>0</v>
      </c>
      <c r="O143" s="1">
        <v>45583.558171296296</v>
      </c>
      <c r="P143" t="s">
        <v>138</v>
      </c>
    </row>
    <row r="144" spans="1:16" x14ac:dyDescent="0.3">
      <c r="A144" t="s">
        <v>25</v>
      </c>
      <c r="B144" s="1">
        <v>45583.558171296296</v>
      </c>
      <c r="C144" t="str">
        <f t="shared" si="28"/>
        <v>41</v>
      </c>
      <c r="D144" t="s">
        <v>120</v>
      </c>
      <c r="E144" t="s">
        <v>116</v>
      </c>
      <c r="F144" t="s">
        <v>117</v>
      </c>
      <c r="H144" t="s">
        <v>144</v>
      </c>
      <c r="I144" t="str">
        <f>"101050002023004"</f>
        <v>101050002023004</v>
      </c>
      <c r="J144" t="str">
        <f t="shared" si="29"/>
        <v>127577</v>
      </c>
      <c r="K144" t="s">
        <v>62</v>
      </c>
      <c r="L144">
        <v>91</v>
      </c>
      <c r="M144">
        <v>91</v>
      </c>
      <c r="N144">
        <v>0</v>
      </c>
      <c r="O144" s="1">
        <v>45583.558171296296</v>
      </c>
      <c r="P144" t="s">
        <v>138</v>
      </c>
    </row>
    <row r="145" spans="1:16" x14ac:dyDescent="0.3">
      <c r="A145" t="s">
        <v>25</v>
      </c>
      <c r="B145" s="1">
        <v>45583.558298611111</v>
      </c>
      <c r="C145" t="str">
        <f>"38"</f>
        <v>38</v>
      </c>
      <c r="D145" t="s">
        <v>115</v>
      </c>
      <c r="E145" t="s">
        <v>116</v>
      </c>
      <c r="F145" t="s">
        <v>117</v>
      </c>
      <c r="H145" t="s">
        <v>145</v>
      </c>
      <c r="L145">
        <v>0</v>
      </c>
      <c r="M145">
        <v>0</v>
      </c>
      <c r="N145">
        <v>0</v>
      </c>
      <c r="O145" s="1">
        <v>45583.558298611111</v>
      </c>
      <c r="P145" t="s">
        <v>122</v>
      </c>
    </row>
    <row r="146" spans="1:16" x14ac:dyDescent="0.3">
      <c r="A146" t="s">
        <v>25</v>
      </c>
      <c r="B146" s="1">
        <v>45583.558287037034</v>
      </c>
      <c r="C146" t="str">
        <f t="shared" ref="C146:C152" si="30">"41"</f>
        <v>41</v>
      </c>
      <c r="D146" t="s">
        <v>120</v>
      </c>
      <c r="E146" t="s">
        <v>116</v>
      </c>
      <c r="F146" t="s">
        <v>117</v>
      </c>
      <c r="H146" t="s">
        <v>145</v>
      </c>
      <c r="I146" t="str">
        <f>"101050002023372"</f>
        <v>101050002023372</v>
      </c>
      <c r="J146" t="str">
        <f t="shared" ref="J146:J152" si="31">"515122"</f>
        <v>515122</v>
      </c>
      <c r="K146" t="s">
        <v>4</v>
      </c>
      <c r="L146">
        <v>49</v>
      </c>
      <c r="M146">
        <v>49</v>
      </c>
      <c r="N146">
        <v>0</v>
      </c>
      <c r="O146" s="1">
        <v>45583.558287037034</v>
      </c>
      <c r="P146" t="s">
        <v>122</v>
      </c>
    </row>
    <row r="147" spans="1:16" x14ac:dyDescent="0.3">
      <c r="A147" t="s">
        <v>25</v>
      </c>
      <c r="B147" s="1">
        <v>45583.558287037034</v>
      </c>
      <c r="C147" t="str">
        <f t="shared" si="30"/>
        <v>41</v>
      </c>
      <c r="D147" t="s">
        <v>120</v>
      </c>
      <c r="E147" t="s">
        <v>116</v>
      </c>
      <c r="F147" t="s">
        <v>117</v>
      </c>
      <c r="H147" t="s">
        <v>145</v>
      </c>
      <c r="I147" t="str">
        <f>"101050002023371"</f>
        <v>101050002023371</v>
      </c>
      <c r="J147" t="str">
        <f t="shared" si="31"/>
        <v>515122</v>
      </c>
      <c r="K147" t="s">
        <v>4</v>
      </c>
      <c r="L147">
        <v>49</v>
      </c>
      <c r="M147">
        <v>49</v>
      </c>
      <c r="N147">
        <v>0</v>
      </c>
      <c r="O147" s="1">
        <v>45583.558287037034</v>
      </c>
      <c r="P147" t="s">
        <v>122</v>
      </c>
    </row>
    <row r="148" spans="1:16" x14ac:dyDescent="0.3">
      <c r="A148" t="s">
        <v>25</v>
      </c>
      <c r="B148" s="1">
        <v>45583.558287037034</v>
      </c>
      <c r="C148" t="str">
        <f t="shared" si="30"/>
        <v>41</v>
      </c>
      <c r="D148" t="s">
        <v>120</v>
      </c>
      <c r="E148" t="s">
        <v>116</v>
      </c>
      <c r="F148" t="s">
        <v>117</v>
      </c>
      <c r="H148" t="s">
        <v>145</v>
      </c>
      <c r="I148" t="str">
        <f>"101050002022849"</f>
        <v>101050002022849</v>
      </c>
      <c r="J148" t="str">
        <f t="shared" si="31"/>
        <v>515122</v>
      </c>
      <c r="K148" t="s">
        <v>4</v>
      </c>
      <c r="L148">
        <v>49</v>
      </c>
      <c r="M148">
        <v>49</v>
      </c>
      <c r="N148">
        <v>0</v>
      </c>
      <c r="O148" s="1">
        <v>45583.558287037034</v>
      </c>
      <c r="P148" t="s">
        <v>122</v>
      </c>
    </row>
    <row r="149" spans="1:16" x14ac:dyDescent="0.3">
      <c r="A149" t="s">
        <v>25</v>
      </c>
      <c r="B149" s="1">
        <v>45583.558287037034</v>
      </c>
      <c r="C149" t="str">
        <f t="shared" si="30"/>
        <v>41</v>
      </c>
      <c r="D149" t="s">
        <v>120</v>
      </c>
      <c r="E149" t="s">
        <v>116</v>
      </c>
      <c r="F149" t="s">
        <v>117</v>
      </c>
      <c r="H149" t="s">
        <v>145</v>
      </c>
      <c r="I149" t="str">
        <f>"101050002022761"</f>
        <v>101050002022761</v>
      </c>
      <c r="J149" t="str">
        <f t="shared" si="31"/>
        <v>515122</v>
      </c>
      <c r="K149" t="s">
        <v>4</v>
      </c>
      <c r="L149">
        <v>49</v>
      </c>
      <c r="M149">
        <v>49</v>
      </c>
      <c r="N149">
        <v>0</v>
      </c>
      <c r="O149" s="1">
        <v>45583.558287037034</v>
      </c>
      <c r="P149" t="s">
        <v>122</v>
      </c>
    </row>
    <row r="150" spans="1:16" x14ac:dyDescent="0.3">
      <c r="A150" t="s">
        <v>25</v>
      </c>
      <c r="B150" s="1">
        <v>45583.558287037034</v>
      </c>
      <c r="C150" t="str">
        <f t="shared" si="30"/>
        <v>41</v>
      </c>
      <c r="D150" t="s">
        <v>120</v>
      </c>
      <c r="E150" t="s">
        <v>116</v>
      </c>
      <c r="F150" t="s">
        <v>117</v>
      </c>
      <c r="H150" t="s">
        <v>145</v>
      </c>
      <c r="I150" t="str">
        <f>"101050002021917"</f>
        <v>101050002021917</v>
      </c>
      <c r="J150" t="str">
        <f t="shared" si="31"/>
        <v>515122</v>
      </c>
      <c r="K150" t="s">
        <v>4</v>
      </c>
      <c r="L150">
        <v>49</v>
      </c>
      <c r="M150">
        <v>49</v>
      </c>
      <c r="N150">
        <v>0</v>
      </c>
      <c r="O150" s="1">
        <v>45583.558287037034</v>
      </c>
      <c r="P150" t="s">
        <v>122</v>
      </c>
    </row>
    <row r="151" spans="1:16" x14ac:dyDescent="0.3">
      <c r="A151" t="s">
        <v>25</v>
      </c>
      <c r="B151" s="1">
        <v>45583.558287037034</v>
      </c>
      <c r="C151" t="str">
        <f t="shared" si="30"/>
        <v>41</v>
      </c>
      <c r="D151" t="s">
        <v>120</v>
      </c>
      <c r="E151" t="s">
        <v>116</v>
      </c>
      <c r="F151" t="s">
        <v>117</v>
      </c>
      <c r="H151" t="s">
        <v>145</v>
      </c>
      <c r="I151" t="str">
        <f>"101050002021915"</f>
        <v>101050002021915</v>
      </c>
      <c r="J151" t="str">
        <f t="shared" si="31"/>
        <v>515122</v>
      </c>
      <c r="K151" t="s">
        <v>4</v>
      </c>
      <c r="L151">
        <v>49</v>
      </c>
      <c r="M151">
        <v>49</v>
      </c>
      <c r="N151">
        <v>0</v>
      </c>
      <c r="O151" s="1">
        <v>45583.558287037034</v>
      </c>
      <c r="P151" t="s">
        <v>122</v>
      </c>
    </row>
    <row r="152" spans="1:16" x14ac:dyDescent="0.3">
      <c r="A152" t="s">
        <v>25</v>
      </c>
      <c r="B152" s="1">
        <v>45583.558287037034</v>
      </c>
      <c r="C152" t="str">
        <f t="shared" si="30"/>
        <v>41</v>
      </c>
      <c r="D152" t="s">
        <v>120</v>
      </c>
      <c r="E152" t="s">
        <v>116</v>
      </c>
      <c r="F152" t="s">
        <v>117</v>
      </c>
      <c r="H152" t="s">
        <v>145</v>
      </c>
      <c r="I152" t="str">
        <f>"101050002021907"</f>
        <v>101050002021907</v>
      </c>
      <c r="J152" t="str">
        <f t="shared" si="31"/>
        <v>515122</v>
      </c>
      <c r="K152" t="s">
        <v>4</v>
      </c>
      <c r="L152">
        <v>49</v>
      </c>
      <c r="M152">
        <v>49</v>
      </c>
      <c r="N152">
        <v>0</v>
      </c>
      <c r="O152" s="1">
        <v>45583.558287037034</v>
      </c>
      <c r="P152" t="s">
        <v>122</v>
      </c>
    </row>
    <row r="153" spans="1:16" x14ac:dyDescent="0.3">
      <c r="A153" t="s">
        <v>25</v>
      </c>
      <c r="B153" s="1">
        <v>45583.557303240741</v>
      </c>
      <c r="C153" t="str">
        <f>"38"</f>
        <v>38</v>
      </c>
      <c r="D153" t="s">
        <v>115</v>
      </c>
      <c r="E153" t="s">
        <v>116</v>
      </c>
      <c r="F153" t="s">
        <v>117</v>
      </c>
      <c r="H153" t="s">
        <v>146</v>
      </c>
      <c r="L153">
        <v>0</v>
      </c>
      <c r="M153">
        <v>0</v>
      </c>
      <c r="N153">
        <v>0</v>
      </c>
      <c r="O153" s="1">
        <v>45583.557303240741</v>
      </c>
      <c r="P153" t="s">
        <v>122</v>
      </c>
    </row>
    <row r="154" spans="1:16" x14ac:dyDescent="0.3">
      <c r="A154" t="s">
        <v>25</v>
      </c>
      <c r="B154" s="1">
        <v>45583.557303240741</v>
      </c>
      <c r="C154" t="str">
        <f t="shared" ref="C154:C160" si="32">"41"</f>
        <v>41</v>
      </c>
      <c r="D154" t="s">
        <v>120</v>
      </c>
      <c r="E154" t="s">
        <v>116</v>
      </c>
      <c r="F154" t="s">
        <v>117</v>
      </c>
      <c r="H154" t="s">
        <v>146</v>
      </c>
      <c r="I154" t="str">
        <f>"101050002020609"</f>
        <v>101050002020609</v>
      </c>
      <c r="J154" t="str">
        <f t="shared" ref="J154:J160" si="33">"515122"</f>
        <v>515122</v>
      </c>
      <c r="K154" t="s">
        <v>4</v>
      </c>
      <c r="L154">
        <v>49</v>
      </c>
      <c r="M154">
        <v>49</v>
      </c>
      <c r="N154">
        <v>0</v>
      </c>
      <c r="O154" s="1">
        <v>45583.557303240741</v>
      </c>
      <c r="P154" t="s">
        <v>122</v>
      </c>
    </row>
    <row r="155" spans="1:16" x14ac:dyDescent="0.3">
      <c r="A155" t="s">
        <v>25</v>
      </c>
      <c r="B155" s="1">
        <v>45583.557291666664</v>
      </c>
      <c r="C155" t="str">
        <f t="shared" si="32"/>
        <v>41</v>
      </c>
      <c r="D155" t="s">
        <v>120</v>
      </c>
      <c r="E155" t="s">
        <v>116</v>
      </c>
      <c r="F155" t="s">
        <v>117</v>
      </c>
      <c r="H155" t="s">
        <v>146</v>
      </c>
      <c r="I155" t="str">
        <f>"101050002023891"</f>
        <v>101050002023891</v>
      </c>
      <c r="J155" t="str">
        <f t="shared" si="33"/>
        <v>515122</v>
      </c>
      <c r="K155" t="s">
        <v>4</v>
      </c>
      <c r="L155">
        <v>49</v>
      </c>
      <c r="M155">
        <v>49</v>
      </c>
      <c r="N155">
        <v>0</v>
      </c>
      <c r="O155" s="1">
        <v>45583.557291666664</v>
      </c>
      <c r="P155" t="s">
        <v>122</v>
      </c>
    </row>
    <row r="156" spans="1:16" x14ac:dyDescent="0.3">
      <c r="A156" t="s">
        <v>25</v>
      </c>
      <c r="B156" s="1">
        <v>45583.557291666664</v>
      </c>
      <c r="C156" t="str">
        <f t="shared" si="32"/>
        <v>41</v>
      </c>
      <c r="D156" t="s">
        <v>120</v>
      </c>
      <c r="E156" t="s">
        <v>116</v>
      </c>
      <c r="F156" t="s">
        <v>117</v>
      </c>
      <c r="H156" t="s">
        <v>146</v>
      </c>
      <c r="I156" t="str">
        <f>"101050002023674"</f>
        <v>101050002023674</v>
      </c>
      <c r="J156" t="str">
        <f t="shared" si="33"/>
        <v>515122</v>
      </c>
      <c r="K156" t="s">
        <v>4</v>
      </c>
      <c r="L156">
        <v>49</v>
      </c>
      <c r="M156">
        <v>49</v>
      </c>
      <c r="N156">
        <v>0</v>
      </c>
      <c r="O156" s="1">
        <v>45583.557291666664</v>
      </c>
      <c r="P156" t="s">
        <v>122</v>
      </c>
    </row>
    <row r="157" spans="1:16" x14ac:dyDescent="0.3">
      <c r="A157" t="s">
        <v>25</v>
      </c>
      <c r="B157" s="1">
        <v>45583.557291666664</v>
      </c>
      <c r="C157" t="str">
        <f t="shared" si="32"/>
        <v>41</v>
      </c>
      <c r="D157" t="s">
        <v>120</v>
      </c>
      <c r="E157" t="s">
        <v>116</v>
      </c>
      <c r="F157" t="s">
        <v>117</v>
      </c>
      <c r="H157" t="s">
        <v>146</v>
      </c>
      <c r="I157" t="str">
        <f>"101050002023319"</f>
        <v>101050002023319</v>
      </c>
      <c r="J157" t="str">
        <f t="shared" si="33"/>
        <v>515122</v>
      </c>
      <c r="K157" t="s">
        <v>4</v>
      </c>
      <c r="L157">
        <v>49</v>
      </c>
      <c r="M157">
        <v>49</v>
      </c>
      <c r="N157">
        <v>0</v>
      </c>
      <c r="O157" s="1">
        <v>45583.557291666664</v>
      </c>
      <c r="P157" t="s">
        <v>122</v>
      </c>
    </row>
    <row r="158" spans="1:16" x14ac:dyDescent="0.3">
      <c r="A158" t="s">
        <v>25</v>
      </c>
      <c r="B158" s="1">
        <v>45583.557291666664</v>
      </c>
      <c r="C158" t="str">
        <f t="shared" si="32"/>
        <v>41</v>
      </c>
      <c r="D158" t="s">
        <v>120</v>
      </c>
      <c r="E158" t="s">
        <v>116</v>
      </c>
      <c r="F158" t="s">
        <v>117</v>
      </c>
      <c r="H158" t="s">
        <v>146</v>
      </c>
      <c r="I158" t="str">
        <f>"101050002021919"</f>
        <v>101050002021919</v>
      </c>
      <c r="J158" t="str">
        <f t="shared" si="33"/>
        <v>515122</v>
      </c>
      <c r="K158" t="s">
        <v>4</v>
      </c>
      <c r="L158">
        <v>49</v>
      </c>
      <c r="M158">
        <v>49</v>
      </c>
      <c r="N158">
        <v>0</v>
      </c>
      <c r="O158" s="1">
        <v>45583.557291666664</v>
      </c>
      <c r="P158" t="s">
        <v>122</v>
      </c>
    </row>
    <row r="159" spans="1:16" x14ac:dyDescent="0.3">
      <c r="A159" t="s">
        <v>25</v>
      </c>
      <c r="B159" s="1">
        <v>45583.557291666664</v>
      </c>
      <c r="C159" t="str">
        <f t="shared" si="32"/>
        <v>41</v>
      </c>
      <c r="D159" t="s">
        <v>120</v>
      </c>
      <c r="E159" t="s">
        <v>116</v>
      </c>
      <c r="F159" t="s">
        <v>117</v>
      </c>
      <c r="H159" t="s">
        <v>146</v>
      </c>
      <c r="I159" t="str">
        <f>"101050002021916"</f>
        <v>101050002021916</v>
      </c>
      <c r="J159" t="str">
        <f t="shared" si="33"/>
        <v>515122</v>
      </c>
      <c r="K159" t="s">
        <v>4</v>
      </c>
      <c r="L159">
        <v>49</v>
      </c>
      <c r="M159">
        <v>49</v>
      </c>
      <c r="N159">
        <v>0</v>
      </c>
      <c r="O159" s="1">
        <v>45583.557291666664</v>
      </c>
      <c r="P159" t="s">
        <v>122</v>
      </c>
    </row>
    <row r="160" spans="1:16" x14ac:dyDescent="0.3">
      <c r="A160" t="s">
        <v>25</v>
      </c>
      <c r="B160" s="1">
        <v>45583.557291666664</v>
      </c>
      <c r="C160" t="str">
        <f t="shared" si="32"/>
        <v>41</v>
      </c>
      <c r="D160" t="s">
        <v>120</v>
      </c>
      <c r="E160" t="s">
        <v>116</v>
      </c>
      <c r="F160" t="s">
        <v>117</v>
      </c>
      <c r="H160" t="s">
        <v>146</v>
      </c>
      <c r="I160" t="str">
        <f>"101050002021909"</f>
        <v>101050002021909</v>
      </c>
      <c r="J160" t="str">
        <f t="shared" si="33"/>
        <v>515122</v>
      </c>
      <c r="K160" t="s">
        <v>4</v>
      </c>
      <c r="L160">
        <v>49</v>
      </c>
      <c r="M160">
        <v>49</v>
      </c>
      <c r="N160">
        <v>0</v>
      </c>
      <c r="O160" s="1">
        <v>45583.557291666664</v>
      </c>
      <c r="P160" t="s">
        <v>122</v>
      </c>
    </row>
    <row r="161" spans="1:16" x14ac:dyDescent="0.3">
      <c r="A161" t="s">
        <v>25</v>
      </c>
      <c r="B161" s="1">
        <v>45583.55672453704</v>
      </c>
      <c r="C161" t="str">
        <f>"38"</f>
        <v>38</v>
      </c>
      <c r="D161" t="s">
        <v>115</v>
      </c>
      <c r="E161" t="s">
        <v>116</v>
      </c>
      <c r="F161" t="s">
        <v>117</v>
      </c>
      <c r="H161" t="s">
        <v>147</v>
      </c>
      <c r="L161">
        <v>0</v>
      </c>
      <c r="M161">
        <v>0</v>
      </c>
      <c r="N161">
        <v>0</v>
      </c>
      <c r="O161" s="1">
        <v>45583.55672453704</v>
      </c>
      <c r="P161" t="s">
        <v>138</v>
      </c>
    </row>
    <row r="162" spans="1:16" x14ac:dyDescent="0.3">
      <c r="A162" t="s">
        <v>25</v>
      </c>
      <c r="B162" s="1">
        <v>45583.55672453704</v>
      </c>
      <c r="C162" t="str">
        <f t="shared" ref="C162:C168" si="34">"41"</f>
        <v>41</v>
      </c>
      <c r="D162" t="s">
        <v>120</v>
      </c>
      <c r="E162" t="s">
        <v>116</v>
      </c>
      <c r="F162" t="s">
        <v>117</v>
      </c>
      <c r="H162" t="s">
        <v>147</v>
      </c>
      <c r="I162" t="str">
        <f>"101050002026142"</f>
        <v>101050002026142</v>
      </c>
      <c r="J162" t="str">
        <f t="shared" ref="J162:J168" si="35">"515122"</f>
        <v>515122</v>
      </c>
      <c r="K162" t="s">
        <v>4</v>
      </c>
      <c r="L162">
        <v>49</v>
      </c>
      <c r="M162">
        <v>49</v>
      </c>
      <c r="N162">
        <v>0</v>
      </c>
      <c r="O162" s="1">
        <v>45583.55672453704</v>
      </c>
      <c r="P162" t="s">
        <v>138</v>
      </c>
    </row>
    <row r="163" spans="1:16" x14ac:dyDescent="0.3">
      <c r="A163" t="s">
        <v>25</v>
      </c>
      <c r="B163" s="1">
        <v>45583.556712962964</v>
      </c>
      <c r="C163" t="str">
        <f t="shared" si="34"/>
        <v>41</v>
      </c>
      <c r="D163" t="s">
        <v>120</v>
      </c>
      <c r="E163" t="s">
        <v>116</v>
      </c>
      <c r="F163" t="s">
        <v>117</v>
      </c>
      <c r="H163" t="s">
        <v>147</v>
      </c>
      <c r="I163" t="str">
        <f>"101050002024782"</f>
        <v>101050002024782</v>
      </c>
      <c r="J163" t="str">
        <f t="shared" si="35"/>
        <v>515122</v>
      </c>
      <c r="K163" t="s">
        <v>4</v>
      </c>
      <c r="L163">
        <v>49</v>
      </c>
      <c r="M163">
        <v>49</v>
      </c>
      <c r="N163">
        <v>0</v>
      </c>
      <c r="O163" s="1">
        <v>45583.556712962964</v>
      </c>
      <c r="P163" t="s">
        <v>138</v>
      </c>
    </row>
    <row r="164" spans="1:16" x14ac:dyDescent="0.3">
      <c r="A164" t="s">
        <v>25</v>
      </c>
      <c r="B164" s="1">
        <v>45583.556712962964</v>
      </c>
      <c r="C164" t="str">
        <f t="shared" si="34"/>
        <v>41</v>
      </c>
      <c r="D164" t="s">
        <v>120</v>
      </c>
      <c r="E164" t="s">
        <v>116</v>
      </c>
      <c r="F164" t="s">
        <v>117</v>
      </c>
      <c r="H164" t="s">
        <v>147</v>
      </c>
      <c r="I164" t="str">
        <f>"101050002026452"</f>
        <v>101050002026452</v>
      </c>
      <c r="J164" t="str">
        <f t="shared" si="35"/>
        <v>515122</v>
      </c>
      <c r="K164" t="s">
        <v>4</v>
      </c>
      <c r="L164">
        <v>49</v>
      </c>
      <c r="M164">
        <v>49</v>
      </c>
      <c r="N164">
        <v>0</v>
      </c>
      <c r="O164" s="1">
        <v>45583.556712962964</v>
      </c>
      <c r="P164" t="s">
        <v>138</v>
      </c>
    </row>
    <row r="165" spans="1:16" x14ac:dyDescent="0.3">
      <c r="A165" t="s">
        <v>25</v>
      </c>
      <c r="B165" s="1">
        <v>45583.556712962964</v>
      </c>
      <c r="C165" t="str">
        <f t="shared" si="34"/>
        <v>41</v>
      </c>
      <c r="D165" t="s">
        <v>120</v>
      </c>
      <c r="E165" t="s">
        <v>116</v>
      </c>
      <c r="F165" t="s">
        <v>117</v>
      </c>
      <c r="H165" t="s">
        <v>147</v>
      </c>
      <c r="I165" t="str">
        <f>"101050002025547"</f>
        <v>101050002025547</v>
      </c>
      <c r="J165" t="str">
        <f t="shared" si="35"/>
        <v>515122</v>
      </c>
      <c r="K165" t="s">
        <v>4</v>
      </c>
      <c r="L165">
        <v>49</v>
      </c>
      <c r="M165">
        <v>49</v>
      </c>
      <c r="N165">
        <v>0</v>
      </c>
      <c r="O165" s="1">
        <v>45583.556712962964</v>
      </c>
      <c r="P165" t="s">
        <v>138</v>
      </c>
    </row>
    <row r="166" spans="1:16" x14ac:dyDescent="0.3">
      <c r="A166" t="s">
        <v>25</v>
      </c>
      <c r="B166" s="1">
        <v>45583.556712962964</v>
      </c>
      <c r="C166" t="str">
        <f t="shared" si="34"/>
        <v>41</v>
      </c>
      <c r="D166" t="s">
        <v>120</v>
      </c>
      <c r="E166" t="s">
        <v>116</v>
      </c>
      <c r="F166" t="s">
        <v>117</v>
      </c>
      <c r="H166" t="s">
        <v>147</v>
      </c>
      <c r="I166" t="str">
        <f>"101050002025895"</f>
        <v>101050002025895</v>
      </c>
      <c r="J166" t="str">
        <f t="shared" si="35"/>
        <v>515122</v>
      </c>
      <c r="K166" t="s">
        <v>4</v>
      </c>
      <c r="L166">
        <v>49</v>
      </c>
      <c r="M166">
        <v>49</v>
      </c>
      <c r="N166">
        <v>0</v>
      </c>
      <c r="O166" s="1">
        <v>45583.556712962964</v>
      </c>
      <c r="P166" t="s">
        <v>138</v>
      </c>
    </row>
    <row r="167" spans="1:16" x14ac:dyDescent="0.3">
      <c r="A167" t="s">
        <v>25</v>
      </c>
      <c r="B167" s="1">
        <v>45583.556712962964</v>
      </c>
      <c r="C167" t="str">
        <f t="shared" si="34"/>
        <v>41</v>
      </c>
      <c r="D167" t="s">
        <v>120</v>
      </c>
      <c r="E167" t="s">
        <v>116</v>
      </c>
      <c r="F167" t="s">
        <v>117</v>
      </c>
      <c r="H167" t="s">
        <v>147</v>
      </c>
      <c r="I167" t="str">
        <f>"101050002025980"</f>
        <v>101050002025980</v>
      </c>
      <c r="J167" t="str">
        <f t="shared" si="35"/>
        <v>515122</v>
      </c>
      <c r="K167" t="s">
        <v>4</v>
      </c>
      <c r="L167">
        <v>49</v>
      </c>
      <c r="M167">
        <v>49</v>
      </c>
      <c r="N167">
        <v>0</v>
      </c>
      <c r="O167" s="1">
        <v>45583.556712962964</v>
      </c>
      <c r="P167" t="s">
        <v>138</v>
      </c>
    </row>
    <row r="168" spans="1:16" x14ac:dyDescent="0.3">
      <c r="A168" t="s">
        <v>25</v>
      </c>
      <c r="B168" s="1">
        <v>45583.556712962964</v>
      </c>
      <c r="C168" t="str">
        <f t="shared" si="34"/>
        <v>41</v>
      </c>
      <c r="D168" t="s">
        <v>120</v>
      </c>
      <c r="E168" t="s">
        <v>116</v>
      </c>
      <c r="F168" t="s">
        <v>117</v>
      </c>
      <c r="H168" t="s">
        <v>147</v>
      </c>
      <c r="I168" t="str">
        <f>"101050002021747"</f>
        <v>101050002021747</v>
      </c>
      <c r="J168" t="str">
        <f t="shared" si="35"/>
        <v>515122</v>
      </c>
      <c r="K168" t="s">
        <v>4</v>
      </c>
      <c r="L168">
        <v>49</v>
      </c>
      <c r="M168">
        <v>49</v>
      </c>
      <c r="N168">
        <v>0</v>
      </c>
      <c r="O168" s="1">
        <v>45583.556712962964</v>
      </c>
      <c r="P168" t="s">
        <v>138</v>
      </c>
    </row>
    <row r="169" spans="1:16" x14ac:dyDescent="0.3">
      <c r="A169" t="s">
        <v>25</v>
      </c>
      <c r="B169" s="1">
        <v>45583.556180555555</v>
      </c>
      <c r="C169" t="str">
        <f>"38"</f>
        <v>38</v>
      </c>
      <c r="D169" t="s">
        <v>115</v>
      </c>
      <c r="E169" t="s">
        <v>116</v>
      </c>
      <c r="F169" t="s">
        <v>117</v>
      </c>
      <c r="H169" t="s">
        <v>148</v>
      </c>
      <c r="L169">
        <v>0</v>
      </c>
      <c r="M169">
        <v>0</v>
      </c>
      <c r="N169">
        <v>0</v>
      </c>
      <c r="O169" s="1">
        <v>45583.556180555555</v>
      </c>
      <c r="P169" t="s">
        <v>138</v>
      </c>
    </row>
    <row r="170" spans="1:16" x14ac:dyDescent="0.3">
      <c r="A170" t="s">
        <v>25</v>
      </c>
      <c r="B170" s="1">
        <v>45583.556180555555</v>
      </c>
      <c r="C170" t="str">
        <f t="shared" ref="C170:C176" si="36">"41"</f>
        <v>41</v>
      </c>
      <c r="D170" t="s">
        <v>120</v>
      </c>
      <c r="E170" t="s">
        <v>116</v>
      </c>
      <c r="F170" t="s">
        <v>117</v>
      </c>
      <c r="H170" t="s">
        <v>148</v>
      </c>
      <c r="I170" t="str">
        <f>"101050002026970"</f>
        <v>101050002026970</v>
      </c>
      <c r="J170" t="str">
        <f t="shared" ref="J170:J176" si="37">"127802"</f>
        <v>127802</v>
      </c>
      <c r="K170" t="s">
        <v>6</v>
      </c>
      <c r="L170">
        <v>91</v>
      </c>
      <c r="M170">
        <v>91</v>
      </c>
      <c r="N170">
        <v>0</v>
      </c>
      <c r="O170" s="1">
        <v>45583.556180555555</v>
      </c>
      <c r="P170" t="s">
        <v>138</v>
      </c>
    </row>
    <row r="171" spans="1:16" x14ac:dyDescent="0.3">
      <c r="A171" t="s">
        <v>25</v>
      </c>
      <c r="B171" s="1">
        <v>45583.556180555555</v>
      </c>
      <c r="C171" t="str">
        <f t="shared" si="36"/>
        <v>41</v>
      </c>
      <c r="D171" t="s">
        <v>120</v>
      </c>
      <c r="E171" t="s">
        <v>116</v>
      </c>
      <c r="F171" t="s">
        <v>117</v>
      </c>
      <c r="H171" t="s">
        <v>148</v>
      </c>
      <c r="I171" t="str">
        <f>"101050002026914"</f>
        <v>101050002026914</v>
      </c>
      <c r="J171" t="str">
        <f t="shared" si="37"/>
        <v>127802</v>
      </c>
      <c r="K171" t="s">
        <v>6</v>
      </c>
      <c r="L171">
        <v>91</v>
      </c>
      <c r="M171">
        <v>91</v>
      </c>
      <c r="N171">
        <v>0</v>
      </c>
      <c r="O171" s="1">
        <v>45583.556180555555</v>
      </c>
      <c r="P171" t="s">
        <v>138</v>
      </c>
    </row>
    <row r="172" spans="1:16" x14ac:dyDescent="0.3">
      <c r="A172" t="s">
        <v>25</v>
      </c>
      <c r="B172" s="1">
        <v>45583.556180555555</v>
      </c>
      <c r="C172" t="str">
        <f t="shared" si="36"/>
        <v>41</v>
      </c>
      <c r="D172" t="s">
        <v>120</v>
      </c>
      <c r="E172" t="s">
        <v>116</v>
      </c>
      <c r="F172" t="s">
        <v>117</v>
      </c>
      <c r="H172" t="s">
        <v>148</v>
      </c>
      <c r="I172" t="str">
        <f>"101050002027141"</f>
        <v>101050002027141</v>
      </c>
      <c r="J172" t="str">
        <f t="shared" si="37"/>
        <v>127802</v>
      </c>
      <c r="K172" t="s">
        <v>6</v>
      </c>
      <c r="L172">
        <v>91</v>
      </c>
      <c r="M172">
        <v>91</v>
      </c>
      <c r="N172">
        <v>0</v>
      </c>
      <c r="O172" s="1">
        <v>45583.556180555555</v>
      </c>
      <c r="P172" t="s">
        <v>138</v>
      </c>
    </row>
    <row r="173" spans="1:16" x14ac:dyDescent="0.3">
      <c r="A173" t="s">
        <v>25</v>
      </c>
      <c r="B173" s="1">
        <v>45583.556180555555</v>
      </c>
      <c r="C173" t="str">
        <f t="shared" si="36"/>
        <v>41</v>
      </c>
      <c r="D173" t="s">
        <v>120</v>
      </c>
      <c r="E173" t="s">
        <v>116</v>
      </c>
      <c r="F173" t="s">
        <v>117</v>
      </c>
      <c r="H173" t="s">
        <v>148</v>
      </c>
      <c r="I173" t="str">
        <f>"101050002026837"</f>
        <v>101050002026837</v>
      </c>
      <c r="J173" t="str">
        <f t="shared" si="37"/>
        <v>127802</v>
      </c>
      <c r="K173" t="s">
        <v>6</v>
      </c>
      <c r="L173">
        <v>91</v>
      </c>
      <c r="M173">
        <v>91</v>
      </c>
      <c r="N173">
        <v>0</v>
      </c>
      <c r="O173" s="1">
        <v>45583.556180555555</v>
      </c>
      <c r="P173" t="s">
        <v>138</v>
      </c>
    </row>
    <row r="174" spans="1:16" x14ac:dyDescent="0.3">
      <c r="A174" t="s">
        <v>25</v>
      </c>
      <c r="B174" s="1">
        <v>45583.556180555555</v>
      </c>
      <c r="C174" t="str">
        <f t="shared" si="36"/>
        <v>41</v>
      </c>
      <c r="D174" t="s">
        <v>120</v>
      </c>
      <c r="E174" t="s">
        <v>116</v>
      </c>
      <c r="F174" t="s">
        <v>117</v>
      </c>
      <c r="H174" t="s">
        <v>148</v>
      </c>
      <c r="I174" t="str">
        <f>"101620000471668"</f>
        <v>101620000471668</v>
      </c>
      <c r="J174" t="str">
        <f t="shared" si="37"/>
        <v>127802</v>
      </c>
      <c r="K174" t="s">
        <v>6</v>
      </c>
      <c r="L174">
        <v>91</v>
      </c>
      <c r="M174">
        <v>91</v>
      </c>
      <c r="N174">
        <v>0</v>
      </c>
      <c r="O174" s="1">
        <v>45583.556180555555</v>
      </c>
      <c r="P174" t="s">
        <v>138</v>
      </c>
    </row>
    <row r="175" spans="1:16" x14ac:dyDescent="0.3">
      <c r="A175" t="s">
        <v>25</v>
      </c>
      <c r="B175" s="1">
        <v>45583.556180555555</v>
      </c>
      <c r="C175" t="str">
        <f t="shared" si="36"/>
        <v>41</v>
      </c>
      <c r="D175" t="s">
        <v>120</v>
      </c>
      <c r="E175" t="s">
        <v>116</v>
      </c>
      <c r="F175" t="s">
        <v>117</v>
      </c>
      <c r="H175" t="s">
        <v>148</v>
      </c>
      <c r="I175" t="str">
        <f>"101620000471998"</f>
        <v>101620000471998</v>
      </c>
      <c r="J175" t="str">
        <f t="shared" si="37"/>
        <v>127802</v>
      </c>
      <c r="K175" t="s">
        <v>6</v>
      </c>
      <c r="L175">
        <v>91</v>
      </c>
      <c r="M175">
        <v>91</v>
      </c>
      <c r="N175">
        <v>0</v>
      </c>
      <c r="O175" s="1">
        <v>45583.556180555555</v>
      </c>
      <c r="P175" t="s">
        <v>138</v>
      </c>
    </row>
    <row r="176" spans="1:16" x14ac:dyDescent="0.3">
      <c r="A176" t="s">
        <v>25</v>
      </c>
      <c r="B176" s="1">
        <v>45583.556180555555</v>
      </c>
      <c r="C176" t="str">
        <f t="shared" si="36"/>
        <v>41</v>
      </c>
      <c r="D176" t="s">
        <v>120</v>
      </c>
      <c r="E176" t="s">
        <v>116</v>
      </c>
      <c r="F176" t="s">
        <v>117</v>
      </c>
      <c r="H176" t="s">
        <v>148</v>
      </c>
      <c r="I176" t="str">
        <f>"101050002017170"</f>
        <v>101050002017170</v>
      </c>
      <c r="J176" t="str">
        <f t="shared" si="37"/>
        <v>127802</v>
      </c>
      <c r="K176" t="s">
        <v>6</v>
      </c>
      <c r="L176">
        <v>91</v>
      </c>
      <c r="M176">
        <v>91</v>
      </c>
      <c r="N176">
        <v>0</v>
      </c>
      <c r="O176" s="1">
        <v>45583.556180555555</v>
      </c>
      <c r="P176" t="s">
        <v>138</v>
      </c>
    </row>
    <row r="177" spans="1:16" x14ac:dyDescent="0.3">
      <c r="A177" t="s">
        <v>25</v>
      </c>
      <c r="B177" s="1">
        <v>45583.556157407409</v>
      </c>
      <c r="C177" t="str">
        <f>"38"</f>
        <v>38</v>
      </c>
      <c r="D177" t="s">
        <v>115</v>
      </c>
      <c r="E177" t="s">
        <v>116</v>
      </c>
      <c r="F177" t="s">
        <v>117</v>
      </c>
      <c r="H177" t="s">
        <v>149</v>
      </c>
      <c r="L177">
        <v>0</v>
      </c>
      <c r="M177">
        <v>0</v>
      </c>
      <c r="N177">
        <v>0</v>
      </c>
      <c r="O177" s="1">
        <v>45583.556157407409</v>
      </c>
      <c r="P177" t="s">
        <v>119</v>
      </c>
    </row>
    <row r="178" spans="1:16" x14ac:dyDescent="0.3">
      <c r="A178" t="s">
        <v>25</v>
      </c>
      <c r="B178" s="1">
        <v>45583.556157407409</v>
      </c>
      <c r="C178" t="str">
        <f t="shared" ref="C178:C184" si="38">"41"</f>
        <v>41</v>
      </c>
      <c r="D178" t="s">
        <v>120</v>
      </c>
      <c r="E178" t="s">
        <v>116</v>
      </c>
      <c r="F178" t="s">
        <v>117</v>
      </c>
      <c r="H178" t="s">
        <v>149</v>
      </c>
      <c r="I178" t="str">
        <f>"101050002024472"</f>
        <v>101050002024472</v>
      </c>
      <c r="J178" t="str">
        <f t="shared" ref="J178:J184" si="39">"515120"</f>
        <v>515120</v>
      </c>
      <c r="K178" t="s">
        <v>2</v>
      </c>
      <c r="L178">
        <v>49</v>
      </c>
      <c r="M178">
        <v>49</v>
      </c>
      <c r="N178">
        <v>0</v>
      </c>
      <c r="O178" s="1">
        <v>45583.556157407409</v>
      </c>
      <c r="P178" t="s">
        <v>119</v>
      </c>
    </row>
    <row r="179" spans="1:16" x14ac:dyDescent="0.3">
      <c r="A179" t="s">
        <v>25</v>
      </c>
      <c r="B179" s="1">
        <v>45583.556157407409</v>
      </c>
      <c r="C179" t="str">
        <f t="shared" si="38"/>
        <v>41</v>
      </c>
      <c r="D179" t="s">
        <v>120</v>
      </c>
      <c r="E179" t="s">
        <v>116</v>
      </c>
      <c r="F179" t="s">
        <v>117</v>
      </c>
      <c r="H179" t="s">
        <v>149</v>
      </c>
      <c r="I179" t="str">
        <f>"101050002025233"</f>
        <v>101050002025233</v>
      </c>
      <c r="J179" t="str">
        <f t="shared" si="39"/>
        <v>515120</v>
      </c>
      <c r="K179" t="s">
        <v>2</v>
      </c>
      <c r="L179">
        <v>49</v>
      </c>
      <c r="M179">
        <v>49</v>
      </c>
      <c r="N179">
        <v>0</v>
      </c>
      <c r="O179" s="1">
        <v>45583.556157407409</v>
      </c>
      <c r="P179" t="s">
        <v>119</v>
      </c>
    </row>
    <row r="180" spans="1:16" x14ac:dyDescent="0.3">
      <c r="A180" t="s">
        <v>25</v>
      </c>
      <c r="B180" s="1">
        <v>45583.556157407409</v>
      </c>
      <c r="C180" t="str">
        <f t="shared" si="38"/>
        <v>41</v>
      </c>
      <c r="D180" t="s">
        <v>120</v>
      </c>
      <c r="E180" t="s">
        <v>116</v>
      </c>
      <c r="F180" t="s">
        <v>117</v>
      </c>
      <c r="H180" t="s">
        <v>149</v>
      </c>
      <c r="I180" t="str">
        <f>"101050002025234"</f>
        <v>101050002025234</v>
      </c>
      <c r="J180" t="str">
        <f t="shared" si="39"/>
        <v>515120</v>
      </c>
      <c r="K180" t="s">
        <v>2</v>
      </c>
      <c r="L180">
        <v>49</v>
      </c>
      <c r="M180">
        <v>49</v>
      </c>
      <c r="N180">
        <v>0</v>
      </c>
      <c r="O180" s="1">
        <v>45583.556157407409</v>
      </c>
      <c r="P180" t="s">
        <v>119</v>
      </c>
    </row>
    <row r="181" spans="1:16" x14ac:dyDescent="0.3">
      <c r="A181" t="s">
        <v>25</v>
      </c>
      <c r="B181" s="1">
        <v>45583.556145833332</v>
      </c>
      <c r="C181" t="str">
        <f t="shared" si="38"/>
        <v>41</v>
      </c>
      <c r="D181" t="s">
        <v>120</v>
      </c>
      <c r="E181" t="s">
        <v>116</v>
      </c>
      <c r="F181" t="s">
        <v>117</v>
      </c>
      <c r="H181" t="s">
        <v>149</v>
      </c>
      <c r="I181" t="str">
        <f>"101050002025757"</f>
        <v>101050002025757</v>
      </c>
      <c r="J181" t="str">
        <f t="shared" si="39"/>
        <v>515120</v>
      </c>
      <c r="K181" t="s">
        <v>2</v>
      </c>
      <c r="L181">
        <v>49</v>
      </c>
      <c r="M181">
        <v>49</v>
      </c>
      <c r="N181">
        <v>0</v>
      </c>
      <c r="O181" s="1">
        <v>45583.556145833332</v>
      </c>
      <c r="P181" t="s">
        <v>119</v>
      </c>
    </row>
    <row r="182" spans="1:16" x14ac:dyDescent="0.3">
      <c r="A182" t="s">
        <v>25</v>
      </c>
      <c r="B182" s="1">
        <v>45583.556145833332</v>
      </c>
      <c r="C182" t="str">
        <f t="shared" si="38"/>
        <v>41</v>
      </c>
      <c r="D182" t="s">
        <v>120</v>
      </c>
      <c r="E182" t="s">
        <v>116</v>
      </c>
      <c r="F182" t="s">
        <v>117</v>
      </c>
      <c r="H182" t="s">
        <v>149</v>
      </c>
      <c r="I182" t="str">
        <f>"101050002025205"</f>
        <v>101050002025205</v>
      </c>
      <c r="J182" t="str">
        <f t="shared" si="39"/>
        <v>515120</v>
      </c>
      <c r="K182" t="s">
        <v>2</v>
      </c>
      <c r="L182">
        <v>49</v>
      </c>
      <c r="M182">
        <v>49</v>
      </c>
      <c r="N182">
        <v>0</v>
      </c>
      <c r="O182" s="1">
        <v>45583.556145833332</v>
      </c>
      <c r="P182" t="s">
        <v>119</v>
      </c>
    </row>
    <row r="183" spans="1:16" x14ac:dyDescent="0.3">
      <c r="A183" t="s">
        <v>25</v>
      </c>
      <c r="B183" s="1">
        <v>45583.556145833332</v>
      </c>
      <c r="C183" t="str">
        <f t="shared" si="38"/>
        <v>41</v>
      </c>
      <c r="D183" t="s">
        <v>120</v>
      </c>
      <c r="E183" t="s">
        <v>116</v>
      </c>
      <c r="F183" t="s">
        <v>117</v>
      </c>
      <c r="H183" t="s">
        <v>149</v>
      </c>
      <c r="I183" t="str">
        <f>"101050002025823"</f>
        <v>101050002025823</v>
      </c>
      <c r="J183" t="str">
        <f t="shared" si="39"/>
        <v>515120</v>
      </c>
      <c r="K183" t="s">
        <v>2</v>
      </c>
      <c r="L183">
        <v>49</v>
      </c>
      <c r="M183">
        <v>49</v>
      </c>
      <c r="N183">
        <v>0</v>
      </c>
      <c r="O183" s="1">
        <v>45583.556145833332</v>
      </c>
      <c r="P183" t="s">
        <v>119</v>
      </c>
    </row>
    <row r="184" spans="1:16" x14ac:dyDescent="0.3">
      <c r="A184" t="s">
        <v>25</v>
      </c>
      <c r="B184" s="1">
        <v>45583.556145833332</v>
      </c>
      <c r="C184" t="str">
        <f t="shared" si="38"/>
        <v>41</v>
      </c>
      <c r="D184" t="s">
        <v>120</v>
      </c>
      <c r="E184" t="s">
        <v>116</v>
      </c>
      <c r="F184" t="s">
        <v>117</v>
      </c>
      <c r="H184" t="s">
        <v>149</v>
      </c>
      <c r="I184" t="str">
        <f>"101050002025740"</f>
        <v>101050002025740</v>
      </c>
      <c r="J184" t="str">
        <f t="shared" si="39"/>
        <v>515120</v>
      </c>
      <c r="K184" t="s">
        <v>2</v>
      </c>
      <c r="L184">
        <v>49</v>
      </c>
      <c r="M184">
        <v>49</v>
      </c>
      <c r="N184">
        <v>0</v>
      </c>
      <c r="O184" s="1">
        <v>45583.556145833332</v>
      </c>
      <c r="P184" t="s">
        <v>119</v>
      </c>
    </row>
    <row r="185" spans="1:16" x14ac:dyDescent="0.3">
      <c r="A185" t="s">
        <v>25</v>
      </c>
      <c r="B185" s="1">
        <v>45583.55672453704</v>
      </c>
      <c r="C185" t="str">
        <f>"38"</f>
        <v>38</v>
      </c>
      <c r="D185" t="s">
        <v>115</v>
      </c>
      <c r="E185" t="s">
        <v>116</v>
      </c>
      <c r="F185" t="s">
        <v>117</v>
      </c>
      <c r="H185" t="s">
        <v>150</v>
      </c>
      <c r="L185">
        <v>0</v>
      </c>
      <c r="M185">
        <v>0</v>
      </c>
      <c r="N185">
        <v>0</v>
      </c>
      <c r="O185" s="1">
        <v>45583.55672453704</v>
      </c>
      <c r="P185" t="s">
        <v>125</v>
      </c>
    </row>
    <row r="186" spans="1:16" x14ac:dyDescent="0.3">
      <c r="A186" t="s">
        <v>25</v>
      </c>
      <c r="B186" s="1">
        <v>45583.556712962964</v>
      </c>
      <c r="C186" t="str">
        <f t="shared" ref="C186:C192" si="40">"41"</f>
        <v>41</v>
      </c>
      <c r="D186" t="s">
        <v>120</v>
      </c>
      <c r="E186" t="s">
        <v>116</v>
      </c>
      <c r="F186" t="s">
        <v>117</v>
      </c>
      <c r="H186" t="s">
        <v>150</v>
      </c>
      <c r="I186" t="str">
        <f>"101050002022789"</f>
        <v>101050002022789</v>
      </c>
      <c r="J186" t="str">
        <f t="shared" ref="J186:J192" si="41">"515122"</f>
        <v>515122</v>
      </c>
      <c r="K186" t="s">
        <v>4</v>
      </c>
      <c r="L186">
        <v>49</v>
      </c>
      <c r="M186">
        <v>49</v>
      </c>
      <c r="N186">
        <v>0</v>
      </c>
      <c r="O186" s="1">
        <v>45583.556712962964</v>
      </c>
      <c r="P186" t="s">
        <v>125</v>
      </c>
    </row>
    <row r="187" spans="1:16" x14ac:dyDescent="0.3">
      <c r="A187" t="s">
        <v>25</v>
      </c>
      <c r="B187" s="1">
        <v>45583.556712962964</v>
      </c>
      <c r="C187" t="str">
        <f t="shared" si="40"/>
        <v>41</v>
      </c>
      <c r="D187" t="s">
        <v>120</v>
      </c>
      <c r="E187" t="s">
        <v>116</v>
      </c>
      <c r="F187" t="s">
        <v>117</v>
      </c>
      <c r="H187" t="s">
        <v>150</v>
      </c>
      <c r="I187" t="str">
        <f>"101050002022508"</f>
        <v>101050002022508</v>
      </c>
      <c r="J187" t="str">
        <f t="shared" si="41"/>
        <v>515122</v>
      </c>
      <c r="K187" t="s">
        <v>4</v>
      </c>
      <c r="L187">
        <v>49</v>
      </c>
      <c r="M187">
        <v>49</v>
      </c>
      <c r="N187">
        <v>0</v>
      </c>
      <c r="O187" s="1">
        <v>45583.556712962964</v>
      </c>
      <c r="P187" t="s">
        <v>125</v>
      </c>
    </row>
    <row r="188" spans="1:16" x14ac:dyDescent="0.3">
      <c r="A188" t="s">
        <v>25</v>
      </c>
      <c r="B188" s="1">
        <v>45583.556712962964</v>
      </c>
      <c r="C188" t="str">
        <f t="shared" si="40"/>
        <v>41</v>
      </c>
      <c r="D188" t="s">
        <v>120</v>
      </c>
      <c r="E188" t="s">
        <v>116</v>
      </c>
      <c r="F188" t="s">
        <v>117</v>
      </c>
      <c r="H188" t="s">
        <v>150</v>
      </c>
      <c r="I188" t="str">
        <f>"101050002022303"</f>
        <v>101050002022303</v>
      </c>
      <c r="J188" t="str">
        <f t="shared" si="41"/>
        <v>515122</v>
      </c>
      <c r="K188" t="s">
        <v>4</v>
      </c>
      <c r="L188">
        <v>49</v>
      </c>
      <c r="M188">
        <v>49</v>
      </c>
      <c r="N188">
        <v>0</v>
      </c>
      <c r="O188" s="1">
        <v>45583.556712962964</v>
      </c>
      <c r="P188" t="s">
        <v>125</v>
      </c>
    </row>
    <row r="189" spans="1:16" x14ac:dyDescent="0.3">
      <c r="A189" t="s">
        <v>25</v>
      </c>
      <c r="B189" s="1">
        <v>45583.556712962964</v>
      </c>
      <c r="C189" t="str">
        <f t="shared" si="40"/>
        <v>41</v>
      </c>
      <c r="D189" t="s">
        <v>120</v>
      </c>
      <c r="E189" t="s">
        <v>116</v>
      </c>
      <c r="F189" t="s">
        <v>117</v>
      </c>
      <c r="H189" t="s">
        <v>150</v>
      </c>
      <c r="I189" t="str">
        <f>"101050002022601"</f>
        <v>101050002022601</v>
      </c>
      <c r="J189" t="str">
        <f t="shared" si="41"/>
        <v>515122</v>
      </c>
      <c r="K189" t="s">
        <v>4</v>
      </c>
      <c r="L189">
        <v>49</v>
      </c>
      <c r="M189">
        <v>49</v>
      </c>
      <c r="N189">
        <v>0</v>
      </c>
      <c r="O189" s="1">
        <v>45583.556712962964</v>
      </c>
      <c r="P189" t="s">
        <v>125</v>
      </c>
    </row>
    <row r="190" spans="1:16" x14ac:dyDescent="0.3">
      <c r="A190" t="s">
        <v>25</v>
      </c>
      <c r="B190" s="1">
        <v>45583.556712962964</v>
      </c>
      <c r="C190" t="str">
        <f t="shared" si="40"/>
        <v>41</v>
      </c>
      <c r="D190" t="s">
        <v>120</v>
      </c>
      <c r="E190" t="s">
        <v>116</v>
      </c>
      <c r="F190" t="s">
        <v>117</v>
      </c>
      <c r="H190" t="s">
        <v>150</v>
      </c>
      <c r="I190" t="str">
        <f>"101050002022600"</f>
        <v>101050002022600</v>
      </c>
      <c r="J190" t="str">
        <f t="shared" si="41"/>
        <v>515122</v>
      </c>
      <c r="K190" t="s">
        <v>4</v>
      </c>
      <c r="L190">
        <v>49</v>
      </c>
      <c r="M190">
        <v>49</v>
      </c>
      <c r="N190">
        <v>0</v>
      </c>
      <c r="O190" s="1">
        <v>45583.556712962964</v>
      </c>
      <c r="P190" t="s">
        <v>125</v>
      </c>
    </row>
    <row r="191" spans="1:16" x14ac:dyDescent="0.3">
      <c r="A191" t="s">
        <v>25</v>
      </c>
      <c r="B191" s="1">
        <v>45583.556712962964</v>
      </c>
      <c r="C191" t="str">
        <f t="shared" si="40"/>
        <v>41</v>
      </c>
      <c r="D191" t="s">
        <v>120</v>
      </c>
      <c r="E191" t="s">
        <v>116</v>
      </c>
      <c r="F191" t="s">
        <v>117</v>
      </c>
      <c r="H191" t="s">
        <v>150</v>
      </c>
      <c r="I191" t="str">
        <f>"101050002022786"</f>
        <v>101050002022786</v>
      </c>
      <c r="J191" t="str">
        <f t="shared" si="41"/>
        <v>515122</v>
      </c>
      <c r="K191" t="s">
        <v>4</v>
      </c>
      <c r="L191">
        <v>49</v>
      </c>
      <c r="M191">
        <v>49</v>
      </c>
      <c r="N191">
        <v>0</v>
      </c>
      <c r="O191" s="1">
        <v>45583.556712962964</v>
      </c>
      <c r="P191" t="s">
        <v>125</v>
      </c>
    </row>
    <row r="192" spans="1:16" x14ac:dyDescent="0.3">
      <c r="A192" t="s">
        <v>25</v>
      </c>
      <c r="B192" s="1">
        <v>45583.556712962964</v>
      </c>
      <c r="C192" t="str">
        <f t="shared" si="40"/>
        <v>41</v>
      </c>
      <c r="D192" t="s">
        <v>120</v>
      </c>
      <c r="E192" t="s">
        <v>116</v>
      </c>
      <c r="F192" t="s">
        <v>117</v>
      </c>
      <c r="H192" t="s">
        <v>150</v>
      </c>
      <c r="I192" t="str">
        <f>"101050002022614"</f>
        <v>101050002022614</v>
      </c>
      <c r="J192" t="str">
        <f t="shared" si="41"/>
        <v>515122</v>
      </c>
      <c r="K192" t="s">
        <v>4</v>
      </c>
      <c r="L192">
        <v>49</v>
      </c>
      <c r="M192">
        <v>49</v>
      </c>
      <c r="N192">
        <v>0</v>
      </c>
      <c r="O192" s="1">
        <v>45583.556712962964</v>
      </c>
      <c r="P192" t="s">
        <v>125</v>
      </c>
    </row>
    <row r="193" spans="1:16" x14ac:dyDescent="0.3">
      <c r="A193" t="s">
        <v>25</v>
      </c>
      <c r="B193" s="1">
        <v>45583.555949074071</v>
      </c>
      <c r="C193" t="str">
        <f>"38"</f>
        <v>38</v>
      </c>
      <c r="D193" t="s">
        <v>115</v>
      </c>
      <c r="E193" t="s">
        <v>116</v>
      </c>
      <c r="F193" t="s">
        <v>117</v>
      </c>
      <c r="H193" t="s">
        <v>151</v>
      </c>
      <c r="L193">
        <v>0</v>
      </c>
      <c r="M193">
        <v>0</v>
      </c>
      <c r="N193">
        <v>0</v>
      </c>
      <c r="O193" s="1">
        <v>45583.555949074071</v>
      </c>
      <c r="P193" t="s">
        <v>125</v>
      </c>
    </row>
    <row r="194" spans="1:16" x14ac:dyDescent="0.3">
      <c r="A194" t="s">
        <v>25</v>
      </c>
      <c r="B194" s="1">
        <v>45583.555949074071</v>
      </c>
      <c r="C194" t="str">
        <f t="shared" ref="C194:C200" si="42">"41"</f>
        <v>41</v>
      </c>
      <c r="D194" t="s">
        <v>120</v>
      </c>
      <c r="E194" t="s">
        <v>116</v>
      </c>
      <c r="F194" t="s">
        <v>117</v>
      </c>
      <c r="H194" t="s">
        <v>151</v>
      </c>
      <c r="I194" t="str">
        <f>"101050002028179"</f>
        <v>101050002028179</v>
      </c>
      <c r="J194" t="str">
        <f t="shared" ref="J194:J200" si="43">"515120"</f>
        <v>515120</v>
      </c>
      <c r="K194" t="s">
        <v>2</v>
      </c>
      <c r="L194">
        <v>49</v>
      </c>
      <c r="M194">
        <v>49</v>
      </c>
      <c r="N194">
        <v>0</v>
      </c>
      <c r="O194" s="1">
        <v>45583.555949074071</v>
      </c>
      <c r="P194" t="s">
        <v>125</v>
      </c>
    </row>
    <row r="195" spans="1:16" x14ac:dyDescent="0.3">
      <c r="A195" t="s">
        <v>25</v>
      </c>
      <c r="B195" s="1">
        <v>45583.555937500001</v>
      </c>
      <c r="C195" t="str">
        <f t="shared" si="42"/>
        <v>41</v>
      </c>
      <c r="D195" t="s">
        <v>120</v>
      </c>
      <c r="E195" t="s">
        <v>116</v>
      </c>
      <c r="F195" t="s">
        <v>117</v>
      </c>
      <c r="H195" t="s">
        <v>151</v>
      </c>
      <c r="I195" t="str">
        <f>"101050002028107"</f>
        <v>101050002028107</v>
      </c>
      <c r="J195" t="str">
        <f t="shared" si="43"/>
        <v>515120</v>
      </c>
      <c r="K195" t="s">
        <v>2</v>
      </c>
      <c r="L195">
        <v>49</v>
      </c>
      <c r="M195">
        <v>49</v>
      </c>
      <c r="N195">
        <v>0</v>
      </c>
      <c r="O195" s="1">
        <v>45583.555937500001</v>
      </c>
      <c r="P195" t="s">
        <v>125</v>
      </c>
    </row>
    <row r="196" spans="1:16" x14ac:dyDescent="0.3">
      <c r="A196" t="s">
        <v>25</v>
      </c>
      <c r="B196" s="1">
        <v>45583.555937500001</v>
      </c>
      <c r="C196" t="str">
        <f t="shared" si="42"/>
        <v>41</v>
      </c>
      <c r="D196" t="s">
        <v>120</v>
      </c>
      <c r="E196" t="s">
        <v>116</v>
      </c>
      <c r="F196" t="s">
        <v>117</v>
      </c>
      <c r="H196" t="s">
        <v>151</v>
      </c>
      <c r="I196" t="str">
        <f>"101050002028105"</f>
        <v>101050002028105</v>
      </c>
      <c r="J196" t="str">
        <f t="shared" si="43"/>
        <v>515120</v>
      </c>
      <c r="K196" t="s">
        <v>2</v>
      </c>
      <c r="L196">
        <v>49</v>
      </c>
      <c r="M196">
        <v>49</v>
      </c>
      <c r="N196">
        <v>0</v>
      </c>
      <c r="O196" s="1">
        <v>45583.555937500001</v>
      </c>
      <c r="P196" t="s">
        <v>125</v>
      </c>
    </row>
    <row r="197" spans="1:16" x14ac:dyDescent="0.3">
      <c r="A197" t="s">
        <v>25</v>
      </c>
      <c r="B197" s="1">
        <v>45583.555937500001</v>
      </c>
      <c r="C197" t="str">
        <f t="shared" si="42"/>
        <v>41</v>
      </c>
      <c r="D197" t="s">
        <v>120</v>
      </c>
      <c r="E197" t="s">
        <v>116</v>
      </c>
      <c r="F197" t="s">
        <v>117</v>
      </c>
      <c r="H197" t="s">
        <v>151</v>
      </c>
      <c r="I197" t="str">
        <f>"101050002028104"</f>
        <v>101050002028104</v>
      </c>
      <c r="J197" t="str">
        <f t="shared" si="43"/>
        <v>515120</v>
      </c>
      <c r="K197" t="s">
        <v>2</v>
      </c>
      <c r="L197">
        <v>49</v>
      </c>
      <c r="M197">
        <v>49</v>
      </c>
      <c r="N197">
        <v>0</v>
      </c>
      <c r="O197" s="1">
        <v>45583.555937500001</v>
      </c>
      <c r="P197" t="s">
        <v>125</v>
      </c>
    </row>
    <row r="198" spans="1:16" x14ac:dyDescent="0.3">
      <c r="A198" t="s">
        <v>25</v>
      </c>
      <c r="B198" s="1">
        <v>45583.555937500001</v>
      </c>
      <c r="C198" t="str">
        <f t="shared" si="42"/>
        <v>41</v>
      </c>
      <c r="D198" t="s">
        <v>120</v>
      </c>
      <c r="E198" t="s">
        <v>116</v>
      </c>
      <c r="F198" t="s">
        <v>117</v>
      </c>
      <c r="H198" t="s">
        <v>151</v>
      </c>
      <c r="I198" t="str">
        <f>"101050002022832"</f>
        <v>101050002022832</v>
      </c>
      <c r="J198" t="str">
        <f t="shared" si="43"/>
        <v>515120</v>
      </c>
      <c r="K198" t="s">
        <v>2</v>
      </c>
      <c r="L198">
        <v>49</v>
      </c>
      <c r="M198">
        <v>49</v>
      </c>
      <c r="N198">
        <v>0</v>
      </c>
      <c r="O198" s="1">
        <v>45583.555937500001</v>
      </c>
      <c r="P198" t="s">
        <v>125</v>
      </c>
    </row>
    <row r="199" spans="1:16" x14ac:dyDescent="0.3">
      <c r="A199" t="s">
        <v>25</v>
      </c>
      <c r="B199" s="1">
        <v>45583.555937500001</v>
      </c>
      <c r="C199" t="str">
        <f t="shared" si="42"/>
        <v>41</v>
      </c>
      <c r="D199" t="s">
        <v>120</v>
      </c>
      <c r="E199" t="s">
        <v>116</v>
      </c>
      <c r="F199" t="s">
        <v>117</v>
      </c>
      <c r="H199" t="s">
        <v>151</v>
      </c>
      <c r="I199" t="str">
        <f>"101050002022594"</f>
        <v>101050002022594</v>
      </c>
      <c r="J199" t="str">
        <f t="shared" si="43"/>
        <v>515120</v>
      </c>
      <c r="K199" t="s">
        <v>2</v>
      </c>
      <c r="L199">
        <v>49</v>
      </c>
      <c r="M199">
        <v>49</v>
      </c>
      <c r="N199">
        <v>0</v>
      </c>
      <c r="O199" s="1">
        <v>45583.555937500001</v>
      </c>
      <c r="P199" t="s">
        <v>125</v>
      </c>
    </row>
    <row r="200" spans="1:16" x14ac:dyDescent="0.3">
      <c r="A200" t="s">
        <v>25</v>
      </c>
      <c r="B200" s="1">
        <v>45583.555937500001</v>
      </c>
      <c r="C200" t="str">
        <f t="shared" si="42"/>
        <v>41</v>
      </c>
      <c r="D200" t="s">
        <v>120</v>
      </c>
      <c r="E200" t="s">
        <v>116</v>
      </c>
      <c r="F200" t="s">
        <v>117</v>
      </c>
      <c r="H200" t="s">
        <v>151</v>
      </c>
      <c r="I200" t="str">
        <f>"101050002022727"</f>
        <v>101050002022727</v>
      </c>
      <c r="J200" t="str">
        <f t="shared" si="43"/>
        <v>515120</v>
      </c>
      <c r="K200" t="s">
        <v>2</v>
      </c>
      <c r="L200">
        <v>49</v>
      </c>
      <c r="M200">
        <v>49</v>
      </c>
      <c r="N200">
        <v>0</v>
      </c>
      <c r="O200" s="1">
        <v>45583.555937500001</v>
      </c>
      <c r="P200" t="s">
        <v>125</v>
      </c>
    </row>
    <row r="201" spans="1:16" x14ac:dyDescent="0.3">
      <c r="A201" t="s">
        <v>25</v>
      </c>
      <c r="B201" s="1">
        <v>45583.554560185185</v>
      </c>
      <c r="C201" t="str">
        <f>"38"</f>
        <v>38</v>
      </c>
      <c r="D201" t="s">
        <v>115</v>
      </c>
      <c r="E201" t="s">
        <v>116</v>
      </c>
      <c r="F201" t="s">
        <v>117</v>
      </c>
      <c r="H201" t="s">
        <v>152</v>
      </c>
      <c r="L201">
        <v>0</v>
      </c>
      <c r="M201">
        <v>0</v>
      </c>
      <c r="N201">
        <v>0</v>
      </c>
      <c r="O201" s="1">
        <v>45583.554560185185</v>
      </c>
      <c r="P201" t="s">
        <v>122</v>
      </c>
    </row>
    <row r="202" spans="1:16" x14ac:dyDescent="0.3">
      <c r="A202" t="s">
        <v>25</v>
      </c>
      <c r="B202" s="1">
        <v>45583.554560185185</v>
      </c>
      <c r="C202" t="str">
        <f t="shared" ref="C202:C208" si="44">"41"</f>
        <v>41</v>
      </c>
      <c r="D202" t="s">
        <v>120</v>
      </c>
      <c r="E202" t="s">
        <v>116</v>
      </c>
      <c r="F202" t="s">
        <v>117</v>
      </c>
      <c r="H202" t="s">
        <v>152</v>
      </c>
      <c r="I202" t="str">
        <f>"101050001992195"</f>
        <v>101050001992195</v>
      </c>
      <c r="J202" t="str">
        <f t="shared" ref="J202:J208" si="45">"514988"</f>
        <v>514988</v>
      </c>
      <c r="K202" t="s">
        <v>94</v>
      </c>
      <c r="L202">
        <v>49</v>
      </c>
      <c r="M202">
        <v>49</v>
      </c>
      <c r="N202">
        <v>0</v>
      </c>
      <c r="O202" s="1">
        <v>45583.554560185185</v>
      </c>
      <c r="P202" t="s">
        <v>122</v>
      </c>
    </row>
    <row r="203" spans="1:16" x14ac:dyDescent="0.3">
      <c r="A203" t="s">
        <v>25</v>
      </c>
      <c r="B203" s="1">
        <v>45583.554560185185</v>
      </c>
      <c r="C203" t="str">
        <f t="shared" si="44"/>
        <v>41</v>
      </c>
      <c r="D203" t="s">
        <v>120</v>
      </c>
      <c r="E203" t="s">
        <v>116</v>
      </c>
      <c r="F203" t="s">
        <v>117</v>
      </c>
      <c r="H203" t="s">
        <v>152</v>
      </c>
      <c r="I203" t="str">
        <f>"101050001990164"</f>
        <v>101050001990164</v>
      </c>
      <c r="J203" t="str">
        <f t="shared" si="45"/>
        <v>514988</v>
      </c>
      <c r="K203" t="s">
        <v>94</v>
      </c>
      <c r="L203">
        <v>49</v>
      </c>
      <c r="M203">
        <v>49</v>
      </c>
      <c r="N203">
        <v>0</v>
      </c>
      <c r="O203" s="1">
        <v>45583.554560185185</v>
      </c>
      <c r="P203" t="s">
        <v>122</v>
      </c>
    </row>
    <row r="204" spans="1:16" x14ac:dyDescent="0.3">
      <c r="A204" t="s">
        <v>25</v>
      </c>
      <c r="B204" s="1">
        <v>45583.554560185185</v>
      </c>
      <c r="C204" t="str">
        <f t="shared" si="44"/>
        <v>41</v>
      </c>
      <c r="D204" t="s">
        <v>120</v>
      </c>
      <c r="E204" t="s">
        <v>116</v>
      </c>
      <c r="F204" t="s">
        <v>117</v>
      </c>
      <c r="H204" t="s">
        <v>152</v>
      </c>
      <c r="I204" t="str">
        <f>"101050001990163"</f>
        <v>101050001990163</v>
      </c>
      <c r="J204" t="str">
        <f t="shared" si="45"/>
        <v>514988</v>
      </c>
      <c r="K204" t="s">
        <v>94</v>
      </c>
      <c r="L204">
        <v>49</v>
      </c>
      <c r="M204">
        <v>49</v>
      </c>
      <c r="N204">
        <v>0</v>
      </c>
      <c r="O204" s="1">
        <v>45583.554560185185</v>
      </c>
      <c r="P204" t="s">
        <v>122</v>
      </c>
    </row>
    <row r="205" spans="1:16" x14ac:dyDescent="0.3">
      <c r="A205" t="s">
        <v>25</v>
      </c>
      <c r="B205" s="1">
        <v>45583.554560185185</v>
      </c>
      <c r="C205" t="str">
        <f t="shared" si="44"/>
        <v>41</v>
      </c>
      <c r="D205" t="s">
        <v>120</v>
      </c>
      <c r="E205" t="s">
        <v>116</v>
      </c>
      <c r="F205" t="s">
        <v>117</v>
      </c>
      <c r="H205" t="s">
        <v>152</v>
      </c>
      <c r="I205" t="str">
        <f>"101050001992150"</f>
        <v>101050001992150</v>
      </c>
      <c r="J205" t="str">
        <f t="shared" si="45"/>
        <v>514988</v>
      </c>
      <c r="K205" t="s">
        <v>94</v>
      </c>
      <c r="L205">
        <v>49</v>
      </c>
      <c r="M205">
        <v>49</v>
      </c>
      <c r="N205">
        <v>0</v>
      </c>
      <c r="O205" s="1">
        <v>45583.554560185185</v>
      </c>
      <c r="P205" t="s">
        <v>122</v>
      </c>
    </row>
    <row r="206" spans="1:16" x14ac:dyDescent="0.3">
      <c r="A206" t="s">
        <v>25</v>
      </c>
      <c r="B206" s="1">
        <v>45583.554548611108</v>
      </c>
      <c r="C206" t="str">
        <f t="shared" si="44"/>
        <v>41</v>
      </c>
      <c r="D206" t="s">
        <v>120</v>
      </c>
      <c r="E206" t="s">
        <v>116</v>
      </c>
      <c r="F206" t="s">
        <v>117</v>
      </c>
      <c r="H206" t="s">
        <v>152</v>
      </c>
      <c r="I206" t="str">
        <f>"101050001992106"</f>
        <v>101050001992106</v>
      </c>
      <c r="J206" t="str">
        <f t="shared" si="45"/>
        <v>514988</v>
      </c>
      <c r="K206" t="s">
        <v>94</v>
      </c>
      <c r="L206">
        <v>49</v>
      </c>
      <c r="M206">
        <v>49</v>
      </c>
      <c r="N206">
        <v>0</v>
      </c>
      <c r="O206" s="1">
        <v>45583.554548611108</v>
      </c>
      <c r="P206" t="s">
        <v>122</v>
      </c>
    </row>
    <row r="207" spans="1:16" x14ac:dyDescent="0.3">
      <c r="A207" t="s">
        <v>25</v>
      </c>
      <c r="B207" s="1">
        <v>45583.554548611108</v>
      </c>
      <c r="C207" t="str">
        <f t="shared" si="44"/>
        <v>41</v>
      </c>
      <c r="D207" t="s">
        <v>120</v>
      </c>
      <c r="E207" t="s">
        <v>116</v>
      </c>
      <c r="F207" t="s">
        <v>117</v>
      </c>
      <c r="H207" t="s">
        <v>152</v>
      </c>
      <c r="I207" t="str">
        <f>"101050001992190"</f>
        <v>101050001992190</v>
      </c>
      <c r="J207" t="str">
        <f t="shared" si="45"/>
        <v>514988</v>
      </c>
      <c r="K207" t="s">
        <v>94</v>
      </c>
      <c r="L207">
        <v>49</v>
      </c>
      <c r="M207">
        <v>49</v>
      </c>
      <c r="N207">
        <v>0</v>
      </c>
      <c r="O207" s="1">
        <v>45583.554548611108</v>
      </c>
      <c r="P207" t="s">
        <v>122</v>
      </c>
    </row>
    <row r="208" spans="1:16" x14ac:dyDescent="0.3">
      <c r="A208" t="s">
        <v>25</v>
      </c>
      <c r="B208" s="1">
        <v>45583.554548611108</v>
      </c>
      <c r="C208" t="str">
        <f t="shared" si="44"/>
        <v>41</v>
      </c>
      <c r="D208" t="s">
        <v>120</v>
      </c>
      <c r="E208" t="s">
        <v>116</v>
      </c>
      <c r="F208" t="s">
        <v>117</v>
      </c>
      <c r="H208" t="s">
        <v>152</v>
      </c>
      <c r="I208" t="str">
        <f>"101050001990162"</f>
        <v>101050001990162</v>
      </c>
      <c r="J208" t="str">
        <f t="shared" si="45"/>
        <v>514988</v>
      </c>
      <c r="K208" t="s">
        <v>94</v>
      </c>
      <c r="L208">
        <v>49</v>
      </c>
      <c r="M208">
        <v>49</v>
      </c>
      <c r="N208">
        <v>0</v>
      </c>
      <c r="O208" s="1">
        <v>45583.554548611108</v>
      </c>
      <c r="P208" t="s">
        <v>122</v>
      </c>
    </row>
    <row r="209" spans="1:16" x14ac:dyDescent="0.3">
      <c r="A209" t="s">
        <v>25</v>
      </c>
      <c r="B209" s="1">
        <v>45583.554375</v>
      </c>
      <c r="C209" t="str">
        <f>"38"</f>
        <v>38</v>
      </c>
      <c r="D209" t="s">
        <v>115</v>
      </c>
      <c r="E209" t="s">
        <v>116</v>
      </c>
      <c r="F209" t="s">
        <v>117</v>
      </c>
      <c r="H209" t="s">
        <v>153</v>
      </c>
      <c r="L209">
        <v>0</v>
      </c>
      <c r="M209">
        <v>0</v>
      </c>
      <c r="N209">
        <v>0</v>
      </c>
      <c r="O209" s="1">
        <v>45583.554375</v>
      </c>
      <c r="P209" t="s">
        <v>119</v>
      </c>
    </row>
    <row r="210" spans="1:16" x14ac:dyDescent="0.3">
      <c r="A210" t="s">
        <v>25</v>
      </c>
      <c r="B210" s="1">
        <v>45583.554375</v>
      </c>
      <c r="C210" t="str">
        <f>"41"</f>
        <v>41</v>
      </c>
      <c r="D210" t="s">
        <v>120</v>
      </c>
      <c r="E210" t="s">
        <v>116</v>
      </c>
      <c r="F210" t="s">
        <v>117</v>
      </c>
      <c r="H210" t="s">
        <v>153</v>
      </c>
      <c r="I210" t="str">
        <f>"101050002021801"</f>
        <v>101050002021801</v>
      </c>
      <c r="J210" t="str">
        <f>"127577"</f>
        <v>127577</v>
      </c>
      <c r="K210" t="s">
        <v>62</v>
      </c>
      <c r="L210">
        <v>91</v>
      </c>
      <c r="M210">
        <v>91</v>
      </c>
      <c r="N210">
        <v>0</v>
      </c>
      <c r="O210" s="1">
        <v>45583.554375</v>
      </c>
      <c r="P210" t="s">
        <v>119</v>
      </c>
    </row>
    <row r="211" spans="1:16" x14ac:dyDescent="0.3">
      <c r="A211" t="s">
        <v>25</v>
      </c>
      <c r="B211" s="1">
        <v>45583.553472222222</v>
      </c>
      <c r="C211" t="str">
        <f>"38"</f>
        <v>38</v>
      </c>
      <c r="D211" t="s">
        <v>115</v>
      </c>
      <c r="E211" t="s">
        <v>116</v>
      </c>
      <c r="F211" t="s">
        <v>117</v>
      </c>
      <c r="H211" t="s">
        <v>154</v>
      </c>
      <c r="L211">
        <v>0</v>
      </c>
      <c r="M211">
        <v>0</v>
      </c>
      <c r="N211">
        <v>0</v>
      </c>
      <c r="O211" s="1">
        <v>45583.553472222222</v>
      </c>
      <c r="P211" t="s">
        <v>122</v>
      </c>
    </row>
    <row r="212" spans="1:16" x14ac:dyDescent="0.3">
      <c r="A212" t="s">
        <v>25</v>
      </c>
      <c r="B212" s="1">
        <v>45583.553460648145</v>
      </c>
      <c r="C212" t="str">
        <f t="shared" ref="C212:C217" si="46">"41"</f>
        <v>41</v>
      </c>
      <c r="D212" t="s">
        <v>120</v>
      </c>
      <c r="E212" t="s">
        <v>116</v>
      </c>
      <c r="F212" t="s">
        <v>117</v>
      </c>
      <c r="H212" t="s">
        <v>154</v>
      </c>
      <c r="I212" t="str">
        <f>"101050002027216"</f>
        <v>101050002027216</v>
      </c>
      <c r="J212" t="str">
        <f t="shared" ref="J212:J217" si="47">"127571"</f>
        <v>127571</v>
      </c>
      <c r="K212" t="s">
        <v>5</v>
      </c>
      <c r="L212">
        <v>91</v>
      </c>
      <c r="M212">
        <v>91</v>
      </c>
      <c r="N212">
        <v>0</v>
      </c>
      <c r="O212" s="1">
        <v>45583.553460648145</v>
      </c>
      <c r="P212" t="s">
        <v>122</v>
      </c>
    </row>
    <row r="213" spans="1:16" x14ac:dyDescent="0.3">
      <c r="A213" t="s">
        <v>25</v>
      </c>
      <c r="B213" s="1">
        <v>45583.553460648145</v>
      </c>
      <c r="C213" t="str">
        <f t="shared" si="46"/>
        <v>41</v>
      </c>
      <c r="D213" t="s">
        <v>120</v>
      </c>
      <c r="E213" t="s">
        <v>116</v>
      </c>
      <c r="F213" t="s">
        <v>117</v>
      </c>
      <c r="H213" t="s">
        <v>154</v>
      </c>
      <c r="I213" t="str">
        <f>"101050002025993"</f>
        <v>101050002025993</v>
      </c>
      <c r="J213" t="str">
        <f t="shared" si="47"/>
        <v>127571</v>
      </c>
      <c r="K213" t="s">
        <v>5</v>
      </c>
      <c r="L213">
        <v>91</v>
      </c>
      <c r="M213">
        <v>91</v>
      </c>
      <c r="N213">
        <v>0</v>
      </c>
      <c r="O213" s="1">
        <v>45583.553460648145</v>
      </c>
      <c r="P213" t="s">
        <v>122</v>
      </c>
    </row>
    <row r="214" spans="1:16" x14ac:dyDescent="0.3">
      <c r="A214" t="s">
        <v>25</v>
      </c>
      <c r="B214" s="1">
        <v>45583.553460648145</v>
      </c>
      <c r="C214" t="str">
        <f t="shared" si="46"/>
        <v>41</v>
      </c>
      <c r="D214" t="s">
        <v>120</v>
      </c>
      <c r="E214" t="s">
        <v>116</v>
      </c>
      <c r="F214" t="s">
        <v>117</v>
      </c>
      <c r="H214" t="s">
        <v>154</v>
      </c>
      <c r="I214" t="str">
        <f>"101050002028678"</f>
        <v>101050002028678</v>
      </c>
      <c r="J214" t="str">
        <f t="shared" si="47"/>
        <v>127571</v>
      </c>
      <c r="K214" t="s">
        <v>5</v>
      </c>
      <c r="L214">
        <v>91</v>
      </c>
      <c r="M214">
        <v>91</v>
      </c>
      <c r="N214">
        <v>0</v>
      </c>
      <c r="O214" s="1">
        <v>45583.553460648145</v>
      </c>
      <c r="P214" t="s">
        <v>122</v>
      </c>
    </row>
    <row r="215" spans="1:16" x14ac:dyDescent="0.3">
      <c r="A215" t="s">
        <v>25</v>
      </c>
      <c r="B215" s="1">
        <v>45583.553460648145</v>
      </c>
      <c r="C215" t="str">
        <f t="shared" si="46"/>
        <v>41</v>
      </c>
      <c r="D215" t="s">
        <v>120</v>
      </c>
      <c r="E215" t="s">
        <v>116</v>
      </c>
      <c r="F215" t="s">
        <v>117</v>
      </c>
      <c r="H215" t="s">
        <v>154</v>
      </c>
      <c r="I215" t="str">
        <f>"101050002027355"</f>
        <v>101050002027355</v>
      </c>
      <c r="J215" t="str">
        <f t="shared" si="47"/>
        <v>127571</v>
      </c>
      <c r="K215" t="s">
        <v>5</v>
      </c>
      <c r="L215">
        <v>91</v>
      </c>
      <c r="M215">
        <v>91</v>
      </c>
      <c r="N215">
        <v>0</v>
      </c>
      <c r="O215" s="1">
        <v>45583.553460648145</v>
      </c>
      <c r="P215" t="s">
        <v>122</v>
      </c>
    </row>
    <row r="216" spans="1:16" x14ac:dyDescent="0.3">
      <c r="A216" t="s">
        <v>25</v>
      </c>
      <c r="B216" s="1">
        <v>45583.553460648145</v>
      </c>
      <c r="C216" t="str">
        <f t="shared" si="46"/>
        <v>41</v>
      </c>
      <c r="D216" t="s">
        <v>120</v>
      </c>
      <c r="E216" t="s">
        <v>116</v>
      </c>
      <c r="F216" t="s">
        <v>117</v>
      </c>
      <c r="H216" t="s">
        <v>154</v>
      </c>
      <c r="I216" t="str">
        <f>"101050002027774"</f>
        <v>101050002027774</v>
      </c>
      <c r="J216" t="str">
        <f t="shared" si="47"/>
        <v>127571</v>
      </c>
      <c r="K216" t="s">
        <v>5</v>
      </c>
      <c r="L216">
        <v>91</v>
      </c>
      <c r="M216">
        <v>91</v>
      </c>
      <c r="N216">
        <v>0</v>
      </c>
      <c r="O216" s="1">
        <v>45583.553460648145</v>
      </c>
      <c r="P216" t="s">
        <v>122</v>
      </c>
    </row>
    <row r="217" spans="1:16" x14ac:dyDescent="0.3">
      <c r="A217" t="s">
        <v>25</v>
      </c>
      <c r="B217" s="1">
        <v>45583.553460648145</v>
      </c>
      <c r="C217" t="str">
        <f t="shared" si="46"/>
        <v>41</v>
      </c>
      <c r="D217" t="s">
        <v>120</v>
      </c>
      <c r="E217" t="s">
        <v>116</v>
      </c>
      <c r="F217" t="s">
        <v>117</v>
      </c>
      <c r="H217" t="s">
        <v>154</v>
      </c>
      <c r="I217" t="str">
        <f>"101050002026591"</f>
        <v>101050002026591</v>
      </c>
      <c r="J217" t="str">
        <f t="shared" si="47"/>
        <v>127571</v>
      </c>
      <c r="K217" t="s">
        <v>5</v>
      </c>
      <c r="L217">
        <v>91</v>
      </c>
      <c r="M217">
        <v>91</v>
      </c>
      <c r="N217">
        <v>0</v>
      </c>
      <c r="O217" s="1">
        <v>45583.553460648145</v>
      </c>
      <c r="P217" t="s">
        <v>122</v>
      </c>
    </row>
    <row r="218" spans="1:16" x14ac:dyDescent="0.3">
      <c r="A218" t="s">
        <v>25</v>
      </c>
      <c r="B218" s="1">
        <v>45583.553402777776</v>
      </c>
      <c r="C218" t="str">
        <f>"38"</f>
        <v>38</v>
      </c>
      <c r="D218" t="s">
        <v>115</v>
      </c>
      <c r="E218" t="s">
        <v>116</v>
      </c>
      <c r="F218" t="s">
        <v>117</v>
      </c>
      <c r="H218" t="s">
        <v>155</v>
      </c>
      <c r="L218">
        <v>0</v>
      </c>
      <c r="M218">
        <v>0</v>
      </c>
      <c r="N218">
        <v>0</v>
      </c>
      <c r="O218" s="1">
        <v>45583.553402777776</v>
      </c>
      <c r="P218" t="s">
        <v>138</v>
      </c>
    </row>
    <row r="219" spans="1:16" x14ac:dyDescent="0.3">
      <c r="A219" t="s">
        <v>25</v>
      </c>
      <c r="B219" s="1">
        <v>45583.553402777776</v>
      </c>
      <c r="C219" t="str">
        <f t="shared" ref="C219:C225" si="48">"41"</f>
        <v>41</v>
      </c>
      <c r="D219" t="s">
        <v>120</v>
      </c>
      <c r="E219" t="s">
        <v>116</v>
      </c>
      <c r="F219" t="s">
        <v>117</v>
      </c>
      <c r="H219" t="s">
        <v>155</v>
      </c>
      <c r="I219" t="str">
        <f>"101050002019616"</f>
        <v>101050002019616</v>
      </c>
      <c r="J219" t="str">
        <f t="shared" ref="J219:J225" si="49">"514913"</f>
        <v>514913</v>
      </c>
      <c r="K219" t="s">
        <v>93</v>
      </c>
      <c r="L219">
        <v>91</v>
      </c>
      <c r="M219">
        <v>91</v>
      </c>
      <c r="N219">
        <v>0</v>
      </c>
      <c r="O219" s="1">
        <v>45583.553402777776</v>
      </c>
      <c r="P219" t="s">
        <v>138</v>
      </c>
    </row>
    <row r="220" spans="1:16" x14ac:dyDescent="0.3">
      <c r="A220" t="s">
        <v>25</v>
      </c>
      <c r="B220" s="1">
        <v>45583.553402777776</v>
      </c>
      <c r="C220" t="str">
        <f t="shared" si="48"/>
        <v>41</v>
      </c>
      <c r="D220" t="s">
        <v>120</v>
      </c>
      <c r="E220" t="s">
        <v>116</v>
      </c>
      <c r="F220" t="s">
        <v>117</v>
      </c>
      <c r="H220" t="s">
        <v>155</v>
      </c>
      <c r="I220" t="str">
        <f>"101050002019615"</f>
        <v>101050002019615</v>
      </c>
      <c r="J220" t="str">
        <f t="shared" si="49"/>
        <v>514913</v>
      </c>
      <c r="K220" t="s">
        <v>93</v>
      </c>
      <c r="L220">
        <v>91</v>
      </c>
      <c r="M220">
        <v>91</v>
      </c>
      <c r="N220">
        <v>0</v>
      </c>
      <c r="O220" s="1">
        <v>45583.553402777776</v>
      </c>
      <c r="P220" t="s">
        <v>138</v>
      </c>
    </row>
    <row r="221" spans="1:16" x14ac:dyDescent="0.3">
      <c r="A221" t="s">
        <v>25</v>
      </c>
      <c r="B221" s="1">
        <v>45583.553402777776</v>
      </c>
      <c r="C221" t="str">
        <f t="shared" si="48"/>
        <v>41</v>
      </c>
      <c r="D221" t="s">
        <v>120</v>
      </c>
      <c r="E221" t="s">
        <v>116</v>
      </c>
      <c r="F221" t="s">
        <v>117</v>
      </c>
      <c r="H221" t="s">
        <v>155</v>
      </c>
      <c r="I221" t="str">
        <f>"101050002019490"</f>
        <v>101050002019490</v>
      </c>
      <c r="J221" t="str">
        <f t="shared" si="49"/>
        <v>514913</v>
      </c>
      <c r="K221" t="s">
        <v>93</v>
      </c>
      <c r="L221">
        <v>91</v>
      </c>
      <c r="M221">
        <v>91</v>
      </c>
      <c r="N221">
        <v>0</v>
      </c>
      <c r="O221" s="1">
        <v>45583.553402777776</v>
      </c>
      <c r="P221" t="s">
        <v>138</v>
      </c>
    </row>
    <row r="222" spans="1:16" x14ac:dyDescent="0.3">
      <c r="A222" t="s">
        <v>25</v>
      </c>
      <c r="B222" s="1">
        <v>45583.553402777776</v>
      </c>
      <c r="C222" t="str">
        <f t="shared" si="48"/>
        <v>41</v>
      </c>
      <c r="D222" t="s">
        <v>120</v>
      </c>
      <c r="E222" t="s">
        <v>116</v>
      </c>
      <c r="F222" t="s">
        <v>117</v>
      </c>
      <c r="H222" t="s">
        <v>155</v>
      </c>
      <c r="I222" t="str">
        <f>"101050002019459"</f>
        <v>101050002019459</v>
      </c>
      <c r="J222" t="str">
        <f t="shared" si="49"/>
        <v>514913</v>
      </c>
      <c r="K222" t="s">
        <v>93</v>
      </c>
      <c r="L222">
        <v>91</v>
      </c>
      <c r="M222">
        <v>91</v>
      </c>
      <c r="N222">
        <v>0</v>
      </c>
      <c r="O222" s="1">
        <v>45583.553402777776</v>
      </c>
      <c r="P222" t="s">
        <v>138</v>
      </c>
    </row>
    <row r="223" spans="1:16" x14ac:dyDescent="0.3">
      <c r="A223" t="s">
        <v>25</v>
      </c>
      <c r="B223" s="1">
        <v>45583.553402777776</v>
      </c>
      <c r="C223" t="str">
        <f t="shared" si="48"/>
        <v>41</v>
      </c>
      <c r="D223" t="s">
        <v>120</v>
      </c>
      <c r="E223" t="s">
        <v>116</v>
      </c>
      <c r="F223" t="s">
        <v>117</v>
      </c>
      <c r="H223" t="s">
        <v>155</v>
      </c>
      <c r="I223" t="str">
        <f>"101050002019369"</f>
        <v>101050002019369</v>
      </c>
      <c r="J223" t="str">
        <f t="shared" si="49"/>
        <v>514913</v>
      </c>
      <c r="K223" t="s">
        <v>93</v>
      </c>
      <c r="L223">
        <v>91</v>
      </c>
      <c r="M223">
        <v>91</v>
      </c>
      <c r="N223">
        <v>0</v>
      </c>
      <c r="O223" s="1">
        <v>45583.553402777776</v>
      </c>
      <c r="P223" t="s">
        <v>138</v>
      </c>
    </row>
    <row r="224" spans="1:16" x14ac:dyDescent="0.3">
      <c r="A224" t="s">
        <v>25</v>
      </c>
      <c r="B224" s="1">
        <v>45583.553391203706</v>
      </c>
      <c r="C224" t="str">
        <f t="shared" si="48"/>
        <v>41</v>
      </c>
      <c r="D224" t="s">
        <v>120</v>
      </c>
      <c r="E224" t="s">
        <v>116</v>
      </c>
      <c r="F224" t="s">
        <v>117</v>
      </c>
      <c r="H224" t="s">
        <v>155</v>
      </c>
      <c r="I224" t="str">
        <f>"101050002019614"</f>
        <v>101050002019614</v>
      </c>
      <c r="J224" t="str">
        <f t="shared" si="49"/>
        <v>514913</v>
      </c>
      <c r="K224" t="s">
        <v>93</v>
      </c>
      <c r="L224">
        <v>91</v>
      </c>
      <c r="M224">
        <v>91</v>
      </c>
      <c r="N224">
        <v>0</v>
      </c>
      <c r="O224" s="1">
        <v>45583.553391203706</v>
      </c>
      <c r="P224" t="s">
        <v>138</v>
      </c>
    </row>
    <row r="225" spans="1:16" x14ac:dyDescent="0.3">
      <c r="A225" t="s">
        <v>25</v>
      </c>
      <c r="B225" s="1">
        <v>45583.553391203706</v>
      </c>
      <c r="C225" t="str">
        <f t="shared" si="48"/>
        <v>41</v>
      </c>
      <c r="D225" t="s">
        <v>120</v>
      </c>
      <c r="E225" t="s">
        <v>116</v>
      </c>
      <c r="F225" t="s">
        <v>117</v>
      </c>
      <c r="H225" t="s">
        <v>155</v>
      </c>
      <c r="I225" t="str">
        <f>"101050002019457"</f>
        <v>101050002019457</v>
      </c>
      <c r="J225" t="str">
        <f t="shared" si="49"/>
        <v>514913</v>
      </c>
      <c r="K225" t="s">
        <v>93</v>
      </c>
      <c r="L225">
        <v>91</v>
      </c>
      <c r="M225">
        <v>91</v>
      </c>
      <c r="N225">
        <v>0</v>
      </c>
      <c r="O225" s="1">
        <v>45583.553391203706</v>
      </c>
      <c r="P225" t="s">
        <v>138</v>
      </c>
    </row>
    <row r="226" spans="1:16" x14ac:dyDescent="0.3">
      <c r="A226" t="s">
        <v>25</v>
      </c>
      <c r="B226" s="1">
        <v>45583.549722222226</v>
      </c>
      <c r="C226" t="str">
        <f>"38"</f>
        <v>38</v>
      </c>
      <c r="D226" t="s">
        <v>115</v>
      </c>
      <c r="E226" t="s">
        <v>116</v>
      </c>
      <c r="F226" t="s">
        <v>117</v>
      </c>
      <c r="H226" t="s">
        <v>156</v>
      </c>
      <c r="L226">
        <v>0</v>
      </c>
      <c r="M226">
        <v>0</v>
      </c>
      <c r="N226">
        <v>0</v>
      </c>
      <c r="O226" s="1">
        <v>45583.549722222226</v>
      </c>
      <c r="P226" t="s">
        <v>125</v>
      </c>
    </row>
    <row r="227" spans="1:16" x14ac:dyDescent="0.3">
      <c r="A227" t="s">
        <v>25</v>
      </c>
      <c r="B227" s="1">
        <v>45583.549722222226</v>
      </c>
      <c r="C227" t="str">
        <f t="shared" ref="C227:C233" si="50">"41"</f>
        <v>41</v>
      </c>
      <c r="D227" t="s">
        <v>120</v>
      </c>
      <c r="E227" t="s">
        <v>116</v>
      </c>
      <c r="F227" t="s">
        <v>117</v>
      </c>
      <c r="H227" t="s">
        <v>156</v>
      </c>
      <c r="I227" t="str">
        <f>"101050002022258"</f>
        <v>101050002022258</v>
      </c>
      <c r="J227" t="str">
        <f t="shared" ref="J227:J233" si="51">"127577"</f>
        <v>127577</v>
      </c>
      <c r="K227" t="s">
        <v>62</v>
      </c>
      <c r="L227">
        <v>91</v>
      </c>
      <c r="M227">
        <v>91</v>
      </c>
      <c r="N227">
        <v>0</v>
      </c>
      <c r="O227" s="1">
        <v>45583.549722222226</v>
      </c>
      <c r="P227" t="s">
        <v>125</v>
      </c>
    </row>
    <row r="228" spans="1:16" x14ac:dyDescent="0.3">
      <c r="A228" t="s">
        <v>25</v>
      </c>
      <c r="B228" s="1">
        <v>45583.549722222226</v>
      </c>
      <c r="C228" t="str">
        <f t="shared" si="50"/>
        <v>41</v>
      </c>
      <c r="D228" t="s">
        <v>120</v>
      </c>
      <c r="E228" t="s">
        <v>116</v>
      </c>
      <c r="F228" t="s">
        <v>117</v>
      </c>
      <c r="H228" t="s">
        <v>156</v>
      </c>
      <c r="I228" t="str">
        <f>"101050002022612"</f>
        <v>101050002022612</v>
      </c>
      <c r="J228" t="str">
        <f t="shared" si="51"/>
        <v>127577</v>
      </c>
      <c r="K228" t="s">
        <v>62</v>
      </c>
      <c r="L228">
        <v>91</v>
      </c>
      <c r="M228">
        <v>91</v>
      </c>
      <c r="N228">
        <v>0</v>
      </c>
      <c r="O228" s="1">
        <v>45583.549722222226</v>
      </c>
      <c r="P228" t="s">
        <v>125</v>
      </c>
    </row>
    <row r="229" spans="1:16" x14ac:dyDescent="0.3">
      <c r="A229" t="s">
        <v>25</v>
      </c>
      <c r="B229" s="1">
        <v>45583.549722222226</v>
      </c>
      <c r="C229" t="str">
        <f t="shared" si="50"/>
        <v>41</v>
      </c>
      <c r="D229" t="s">
        <v>120</v>
      </c>
      <c r="E229" t="s">
        <v>116</v>
      </c>
      <c r="F229" t="s">
        <v>117</v>
      </c>
      <c r="H229" t="s">
        <v>156</v>
      </c>
      <c r="I229" t="str">
        <f>"101050002022252"</f>
        <v>101050002022252</v>
      </c>
      <c r="J229" t="str">
        <f t="shared" si="51"/>
        <v>127577</v>
      </c>
      <c r="K229" t="s">
        <v>62</v>
      </c>
      <c r="L229">
        <v>91</v>
      </c>
      <c r="M229">
        <v>91</v>
      </c>
      <c r="N229">
        <v>0</v>
      </c>
      <c r="O229" s="1">
        <v>45583.549722222226</v>
      </c>
      <c r="P229" t="s">
        <v>125</v>
      </c>
    </row>
    <row r="230" spans="1:16" x14ac:dyDescent="0.3">
      <c r="A230" t="s">
        <v>25</v>
      </c>
      <c r="B230" s="1">
        <v>45583.549722222226</v>
      </c>
      <c r="C230" t="str">
        <f t="shared" si="50"/>
        <v>41</v>
      </c>
      <c r="D230" t="s">
        <v>120</v>
      </c>
      <c r="E230" t="s">
        <v>116</v>
      </c>
      <c r="F230" t="s">
        <v>117</v>
      </c>
      <c r="H230" t="s">
        <v>156</v>
      </c>
      <c r="I230" t="str">
        <f>"101050002022148"</f>
        <v>101050002022148</v>
      </c>
      <c r="J230" t="str">
        <f t="shared" si="51"/>
        <v>127577</v>
      </c>
      <c r="K230" t="s">
        <v>62</v>
      </c>
      <c r="L230">
        <v>91</v>
      </c>
      <c r="M230">
        <v>91</v>
      </c>
      <c r="N230">
        <v>0</v>
      </c>
      <c r="O230" s="1">
        <v>45583.549722222226</v>
      </c>
      <c r="P230" t="s">
        <v>125</v>
      </c>
    </row>
    <row r="231" spans="1:16" x14ac:dyDescent="0.3">
      <c r="A231" t="s">
        <v>25</v>
      </c>
      <c r="B231" s="1">
        <v>45583.549710648149</v>
      </c>
      <c r="C231" t="str">
        <f t="shared" si="50"/>
        <v>41</v>
      </c>
      <c r="D231" t="s">
        <v>120</v>
      </c>
      <c r="E231" t="s">
        <v>116</v>
      </c>
      <c r="F231" t="s">
        <v>117</v>
      </c>
      <c r="H231" t="s">
        <v>156</v>
      </c>
      <c r="I231" t="str">
        <f>"101050002022746"</f>
        <v>101050002022746</v>
      </c>
      <c r="J231" t="str">
        <f t="shared" si="51"/>
        <v>127577</v>
      </c>
      <c r="K231" t="s">
        <v>62</v>
      </c>
      <c r="L231">
        <v>91</v>
      </c>
      <c r="M231">
        <v>91</v>
      </c>
      <c r="N231">
        <v>0</v>
      </c>
      <c r="O231" s="1">
        <v>45583.549710648149</v>
      </c>
      <c r="P231" t="s">
        <v>125</v>
      </c>
    </row>
    <row r="232" spans="1:16" x14ac:dyDescent="0.3">
      <c r="A232" t="s">
        <v>25</v>
      </c>
      <c r="B232" s="1">
        <v>45583.549710648149</v>
      </c>
      <c r="C232" t="str">
        <f t="shared" si="50"/>
        <v>41</v>
      </c>
      <c r="D232" t="s">
        <v>120</v>
      </c>
      <c r="E232" t="s">
        <v>116</v>
      </c>
      <c r="F232" t="s">
        <v>117</v>
      </c>
      <c r="H232" t="s">
        <v>156</v>
      </c>
      <c r="I232" t="str">
        <f>"101050002022476"</f>
        <v>101050002022476</v>
      </c>
      <c r="J232" t="str">
        <f t="shared" si="51"/>
        <v>127577</v>
      </c>
      <c r="K232" t="s">
        <v>62</v>
      </c>
      <c r="L232">
        <v>91</v>
      </c>
      <c r="M232">
        <v>91</v>
      </c>
      <c r="N232">
        <v>0</v>
      </c>
      <c r="O232" s="1">
        <v>45583.549710648149</v>
      </c>
      <c r="P232" t="s">
        <v>125</v>
      </c>
    </row>
    <row r="233" spans="1:16" x14ac:dyDescent="0.3">
      <c r="A233" t="s">
        <v>25</v>
      </c>
      <c r="B233" s="1">
        <v>45583.549710648149</v>
      </c>
      <c r="C233" t="str">
        <f t="shared" si="50"/>
        <v>41</v>
      </c>
      <c r="D233" t="s">
        <v>120</v>
      </c>
      <c r="E233" t="s">
        <v>116</v>
      </c>
      <c r="F233" t="s">
        <v>117</v>
      </c>
      <c r="H233" t="s">
        <v>156</v>
      </c>
      <c r="I233" t="str">
        <f>"101050002022478"</f>
        <v>101050002022478</v>
      </c>
      <c r="J233" t="str">
        <f t="shared" si="51"/>
        <v>127577</v>
      </c>
      <c r="K233" t="s">
        <v>62</v>
      </c>
      <c r="L233">
        <v>91</v>
      </c>
      <c r="M233">
        <v>91</v>
      </c>
      <c r="N233">
        <v>0</v>
      </c>
      <c r="O233" s="1">
        <v>45583.549710648149</v>
      </c>
      <c r="P233" t="s">
        <v>125</v>
      </c>
    </row>
    <row r="234" spans="1:16" x14ac:dyDescent="0.3">
      <c r="A234" t="s">
        <v>25</v>
      </c>
      <c r="B234" s="1">
        <v>45583.551076388889</v>
      </c>
      <c r="C234" t="str">
        <f>"38"</f>
        <v>38</v>
      </c>
      <c r="D234" t="s">
        <v>115</v>
      </c>
      <c r="E234" t="s">
        <v>116</v>
      </c>
      <c r="F234" t="s">
        <v>117</v>
      </c>
      <c r="H234" t="s">
        <v>157</v>
      </c>
      <c r="L234">
        <v>0</v>
      </c>
      <c r="M234">
        <v>0</v>
      </c>
      <c r="N234">
        <v>0</v>
      </c>
      <c r="O234" s="1">
        <v>45583.551076388889</v>
      </c>
      <c r="P234" t="s">
        <v>138</v>
      </c>
    </row>
    <row r="235" spans="1:16" x14ac:dyDescent="0.3">
      <c r="A235" t="s">
        <v>25</v>
      </c>
      <c r="B235" s="1">
        <v>45583.551076388889</v>
      </c>
      <c r="C235" t="str">
        <f t="shared" ref="C235:C241" si="52">"41"</f>
        <v>41</v>
      </c>
      <c r="D235" t="s">
        <v>120</v>
      </c>
      <c r="E235" t="s">
        <v>116</v>
      </c>
      <c r="F235" t="s">
        <v>117</v>
      </c>
      <c r="H235" t="s">
        <v>157</v>
      </c>
      <c r="I235" t="str">
        <f>"101050002026230"</f>
        <v>101050002026230</v>
      </c>
      <c r="J235" t="str">
        <f t="shared" ref="J235:J241" si="53">"515122"</f>
        <v>515122</v>
      </c>
      <c r="K235" t="s">
        <v>4</v>
      </c>
      <c r="L235">
        <v>49</v>
      </c>
      <c r="M235">
        <v>49</v>
      </c>
      <c r="N235">
        <v>0</v>
      </c>
      <c r="O235" s="1">
        <v>45583.551076388889</v>
      </c>
      <c r="P235" t="s">
        <v>138</v>
      </c>
    </row>
    <row r="236" spans="1:16" x14ac:dyDescent="0.3">
      <c r="A236" t="s">
        <v>25</v>
      </c>
      <c r="B236" s="1">
        <v>45583.551064814812</v>
      </c>
      <c r="C236" t="str">
        <f t="shared" si="52"/>
        <v>41</v>
      </c>
      <c r="D236" t="s">
        <v>120</v>
      </c>
      <c r="E236" t="s">
        <v>116</v>
      </c>
      <c r="F236" t="s">
        <v>117</v>
      </c>
      <c r="H236" t="s">
        <v>157</v>
      </c>
      <c r="I236" t="str">
        <f>"101050002026263"</f>
        <v>101050002026263</v>
      </c>
      <c r="J236" t="str">
        <f t="shared" si="53"/>
        <v>515122</v>
      </c>
      <c r="K236" t="s">
        <v>4</v>
      </c>
      <c r="L236">
        <v>49</v>
      </c>
      <c r="M236">
        <v>49</v>
      </c>
      <c r="N236">
        <v>0</v>
      </c>
      <c r="O236" s="1">
        <v>45583.551064814812</v>
      </c>
      <c r="P236" t="s">
        <v>138</v>
      </c>
    </row>
    <row r="237" spans="1:16" x14ac:dyDescent="0.3">
      <c r="A237" t="s">
        <v>25</v>
      </c>
      <c r="B237" s="1">
        <v>45583.551064814812</v>
      </c>
      <c r="C237" t="str">
        <f t="shared" si="52"/>
        <v>41</v>
      </c>
      <c r="D237" t="s">
        <v>120</v>
      </c>
      <c r="E237" t="s">
        <v>116</v>
      </c>
      <c r="F237" t="s">
        <v>117</v>
      </c>
      <c r="H237" t="s">
        <v>157</v>
      </c>
      <c r="I237" t="str">
        <f>"101050002026295"</f>
        <v>101050002026295</v>
      </c>
      <c r="J237" t="str">
        <f t="shared" si="53"/>
        <v>515122</v>
      </c>
      <c r="K237" t="s">
        <v>4</v>
      </c>
      <c r="L237">
        <v>49</v>
      </c>
      <c r="M237">
        <v>49</v>
      </c>
      <c r="N237">
        <v>0</v>
      </c>
      <c r="O237" s="1">
        <v>45583.551064814812</v>
      </c>
      <c r="P237" t="s">
        <v>138</v>
      </c>
    </row>
    <row r="238" spans="1:16" x14ac:dyDescent="0.3">
      <c r="A238" t="s">
        <v>25</v>
      </c>
      <c r="B238" s="1">
        <v>45583.551064814812</v>
      </c>
      <c r="C238" t="str">
        <f t="shared" si="52"/>
        <v>41</v>
      </c>
      <c r="D238" t="s">
        <v>120</v>
      </c>
      <c r="E238" t="s">
        <v>116</v>
      </c>
      <c r="F238" t="s">
        <v>117</v>
      </c>
      <c r="H238" t="s">
        <v>157</v>
      </c>
      <c r="I238" t="str">
        <f>"101050002024941"</f>
        <v>101050002024941</v>
      </c>
      <c r="J238" t="str">
        <f t="shared" si="53"/>
        <v>515122</v>
      </c>
      <c r="K238" t="s">
        <v>4</v>
      </c>
      <c r="L238">
        <v>49</v>
      </c>
      <c r="M238">
        <v>49</v>
      </c>
      <c r="N238">
        <v>0</v>
      </c>
      <c r="O238" s="1">
        <v>45583.551064814812</v>
      </c>
      <c r="P238" t="s">
        <v>138</v>
      </c>
    </row>
    <row r="239" spans="1:16" x14ac:dyDescent="0.3">
      <c r="A239" t="s">
        <v>25</v>
      </c>
      <c r="B239" s="1">
        <v>45583.551064814812</v>
      </c>
      <c r="C239" t="str">
        <f t="shared" si="52"/>
        <v>41</v>
      </c>
      <c r="D239" t="s">
        <v>120</v>
      </c>
      <c r="E239" t="s">
        <v>116</v>
      </c>
      <c r="F239" t="s">
        <v>117</v>
      </c>
      <c r="H239" t="s">
        <v>157</v>
      </c>
      <c r="I239" t="str">
        <f>"101050002025979"</f>
        <v>101050002025979</v>
      </c>
      <c r="J239" t="str">
        <f t="shared" si="53"/>
        <v>515122</v>
      </c>
      <c r="K239" t="s">
        <v>4</v>
      </c>
      <c r="L239">
        <v>49</v>
      </c>
      <c r="M239">
        <v>49</v>
      </c>
      <c r="N239">
        <v>0</v>
      </c>
      <c r="O239" s="1">
        <v>45583.551064814812</v>
      </c>
      <c r="P239" t="s">
        <v>138</v>
      </c>
    </row>
    <row r="240" spans="1:16" x14ac:dyDescent="0.3">
      <c r="A240" t="s">
        <v>25</v>
      </c>
      <c r="B240" s="1">
        <v>45583.551064814812</v>
      </c>
      <c r="C240" t="str">
        <f t="shared" si="52"/>
        <v>41</v>
      </c>
      <c r="D240" t="s">
        <v>120</v>
      </c>
      <c r="E240" t="s">
        <v>116</v>
      </c>
      <c r="F240" t="s">
        <v>117</v>
      </c>
      <c r="H240" t="s">
        <v>157</v>
      </c>
      <c r="I240" t="str">
        <f>"101050002022510"</f>
        <v>101050002022510</v>
      </c>
      <c r="J240" t="str">
        <f t="shared" si="53"/>
        <v>515122</v>
      </c>
      <c r="K240" t="s">
        <v>4</v>
      </c>
      <c r="L240">
        <v>49</v>
      </c>
      <c r="M240">
        <v>49</v>
      </c>
      <c r="N240">
        <v>0</v>
      </c>
      <c r="O240" s="1">
        <v>45583.551064814812</v>
      </c>
      <c r="P240" t="s">
        <v>138</v>
      </c>
    </row>
    <row r="241" spans="1:16" x14ac:dyDescent="0.3">
      <c r="A241" t="s">
        <v>25</v>
      </c>
      <c r="B241" s="1">
        <v>45583.551064814812</v>
      </c>
      <c r="C241" t="str">
        <f t="shared" si="52"/>
        <v>41</v>
      </c>
      <c r="D241" t="s">
        <v>120</v>
      </c>
      <c r="E241" t="s">
        <v>116</v>
      </c>
      <c r="F241" t="s">
        <v>117</v>
      </c>
      <c r="H241" t="s">
        <v>157</v>
      </c>
      <c r="I241" t="str">
        <f>"101050002022466"</f>
        <v>101050002022466</v>
      </c>
      <c r="J241" t="str">
        <f t="shared" si="53"/>
        <v>515122</v>
      </c>
      <c r="K241" t="s">
        <v>4</v>
      </c>
      <c r="L241">
        <v>49</v>
      </c>
      <c r="M241">
        <v>49</v>
      </c>
      <c r="N241">
        <v>0</v>
      </c>
      <c r="O241" s="1">
        <v>45583.551064814812</v>
      </c>
      <c r="P241" t="s">
        <v>138</v>
      </c>
    </row>
    <row r="242" spans="1:16" x14ac:dyDescent="0.3">
      <c r="A242" t="s">
        <v>25</v>
      </c>
      <c r="B242" s="1">
        <v>45583.549699074072</v>
      </c>
      <c r="C242" t="str">
        <f>"38"</f>
        <v>38</v>
      </c>
      <c r="D242" t="s">
        <v>115</v>
      </c>
      <c r="E242" t="s">
        <v>116</v>
      </c>
      <c r="F242" t="s">
        <v>117</v>
      </c>
      <c r="H242" t="s">
        <v>158</v>
      </c>
      <c r="L242">
        <v>0</v>
      </c>
      <c r="M242">
        <v>0</v>
      </c>
      <c r="N242">
        <v>0</v>
      </c>
      <c r="O242" s="1">
        <v>45583.549699074072</v>
      </c>
      <c r="P242" t="s">
        <v>138</v>
      </c>
    </row>
    <row r="243" spans="1:16" x14ac:dyDescent="0.3">
      <c r="A243" t="s">
        <v>25</v>
      </c>
      <c r="B243" s="1">
        <v>45583.549699074072</v>
      </c>
      <c r="C243" t="str">
        <f>"41"</f>
        <v>41</v>
      </c>
      <c r="D243" t="s">
        <v>120</v>
      </c>
      <c r="E243" t="s">
        <v>116</v>
      </c>
      <c r="F243" t="s">
        <v>117</v>
      </c>
      <c r="H243" t="s">
        <v>158</v>
      </c>
      <c r="I243" t="str">
        <f>"101050002026911"</f>
        <v>101050002026911</v>
      </c>
      <c r="J243" t="str">
        <f>"127802"</f>
        <v>127802</v>
      </c>
      <c r="K243" t="s">
        <v>6</v>
      </c>
      <c r="L243">
        <v>91</v>
      </c>
      <c r="M243">
        <v>91</v>
      </c>
      <c r="N243">
        <v>0</v>
      </c>
      <c r="O243" s="1">
        <v>45583.549699074072</v>
      </c>
      <c r="P243" t="s">
        <v>138</v>
      </c>
    </row>
    <row r="244" spans="1:16" x14ac:dyDescent="0.3">
      <c r="A244" t="s">
        <v>25</v>
      </c>
      <c r="B244" s="1">
        <v>45583.549699074072</v>
      </c>
      <c r="C244" t="str">
        <f>"41"</f>
        <v>41</v>
      </c>
      <c r="D244" t="s">
        <v>120</v>
      </c>
      <c r="E244" t="s">
        <v>116</v>
      </c>
      <c r="F244" t="s">
        <v>117</v>
      </c>
      <c r="H244" t="s">
        <v>158</v>
      </c>
      <c r="I244" t="str">
        <f>"101050002021262"</f>
        <v>101050002021262</v>
      </c>
      <c r="J244" t="str">
        <f>"127802"</f>
        <v>127802</v>
      </c>
      <c r="K244" t="s">
        <v>6</v>
      </c>
      <c r="L244">
        <v>91</v>
      </c>
      <c r="M244">
        <v>91</v>
      </c>
      <c r="N244">
        <v>0</v>
      </c>
      <c r="O244" s="1">
        <v>45583.549699074072</v>
      </c>
      <c r="P244" t="s">
        <v>138</v>
      </c>
    </row>
    <row r="245" spans="1:16" x14ac:dyDescent="0.3">
      <c r="A245" t="s">
        <v>25</v>
      </c>
      <c r="B245" s="1">
        <v>45583.549699074072</v>
      </c>
      <c r="C245" t="str">
        <f>"41"</f>
        <v>41</v>
      </c>
      <c r="D245" t="s">
        <v>120</v>
      </c>
      <c r="E245" t="s">
        <v>116</v>
      </c>
      <c r="F245" t="s">
        <v>117</v>
      </c>
      <c r="H245" t="s">
        <v>158</v>
      </c>
      <c r="I245" t="str">
        <f>"101050002026836"</f>
        <v>101050002026836</v>
      </c>
      <c r="J245" t="str">
        <f>"127802"</f>
        <v>127802</v>
      </c>
      <c r="K245" t="s">
        <v>6</v>
      </c>
      <c r="L245">
        <v>91</v>
      </c>
      <c r="M245">
        <v>91</v>
      </c>
      <c r="N245">
        <v>0</v>
      </c>
      <c r="O245" s="1">
        <v>45583.549699074072</v>
      </c>
      <c r="P245" t="s">
        <v>138</v>
      </c>
    </row>
    <row r="246" spans="1:16" x14ac:dyDescent="0.3">
      <c r="A246" t="s">
        <v>25</v>
      </c>
      <c r="B246" s="1">
        <v>45583.549699074072</v>
      </c>
      <c r="C246" t="str">
        <f>"41"</f>
        <v>41</v>
      </c>
      <c r="D246" t="s">
        <v>120</v>
      </c>
      <c r="E246" t="s">
        <v>116</v>
      </c>
      <c r="F246" t="s">
        <v>117</v>
      </c>
      <c r="H246" t="s">
        <v>158</v>
      </c>
      <c r="I246" t="str">
        <f>"101050002026833"</f>
        <v>101050002026833</v>
      </c>
      <c r="J246" t="str">
        <f>"127802"</f>
        <v>127802</v>
      </c>
      <c r="K246" t="s">
        <v>6</v>
      </c>
      <c r="L246">
        <v>91</v>
      </c>
      <c r="M246">
        <v>91</v>
      </c>
      <c r="N246">
        <v>0</v>
      </c>
      <c r="O246" s="1">
        <v>45583.549699074072</v>
      </c>
      <c r="P246" t="s">
        <v>138</v>
      </c>
    </row>
    <row r="247" spans="1:16" x14ac:dyDescent="0.3">
      <c r="A247" t="s">
        <v>25</v>
      </c>
      <c r="B247" s="1">
        <v>45583.548946759256</v>
      </c>
      <c r="C247" t="str">
        <f>"38"</f>
        <v>38</v>
      </c>
      <c r="D247" t="s">
        <v>115</v>
      </c>
      <c r="E247" t="s">
        <v>116</v>
      </c>
      <c r="F247" t="s">
        <v>117</v>
      </c>
      <c r="H247" t="s">
        <v>159</v>
      </c>
      <c r="L247">
        <v>0</v>
      </c>
      <c r="M247">
        <v>0</v>
      </c>
      <c r="N247">
        <v>0</v>
      </c>
      <c r="O247" s="1">
        <v>45583.548946759256</v>
      </c>
      <c r="P247" t="s">
        <v>138</v>
      </c>
    </row>
    <row r="248" spans="1:16" x14ac:dyDescent="0.3">
      <c r="A248" t="s">
        <v>25</v>
      </c>
      <c r="B248" s="1">
        <v>45583.548946759256</v>
      </c>
      <c r="C248" t="str">
        <f t="shared" ref="C248:C254" si="54">"41"</f>
        <v>41</v>
      </c>
      <c r="D248" t="s">
        <v>120</v>
      </c>
      <c r="E248" t="s">
        <v>116</v>
      </c>
      <c r="F248" t="s">
        <v>117</v>
      </c>
      <c r="H248" t="s">
        <v>159</v>
      </c>
      <c r="I248" t="str">
        <f>"101050002021876"</f>
        <v>101050002021876</v>
      </c>
      <c r="J248" t="str">
        <f t="shared" ref="J248:J254" si="55">"515122"</f>
        <v>515122</v>
      </c>
      <c r="K248" t="s">
        <v>4</v>
      </c>
      <c r="L248">
        <v>49</v>
      </c>
      <c r="M248">
        <v>49</v>
      </c>
      <c r="N248">
        <v>0</v>
      </c>
      <c r="O248" s="1">
        <v>45583.548946759256</v>
      </c>
      <c r="P248" t="s">
        <v>138</v>
      </c>
    </row>
    <row r="249" spans="1:16" x14ac:dyDescent="0.3">
      <c r="A249" t="s">
        <v>25</v>
      </c>
      <c r="B249" s="1">
        <v>45583.548946759256</v>
      </c>
      <c r="C249" t="str">
        <f t="shared" si="54"/>
        <v>41</v>
      </c>
      <c r="D249" t="s">
        <v>120</v>
      </c>
      <c r="E249" t="s">
        <v>116</v>
      </c>
      <c r="F249" t="s">
        <v>117</v>
      </c>
      <c r="H249" t="s">
        <v>159</v>
      </c>
      <c r="I249" t="str">
        <f>"101050002026109"</f>
        <v>101050002026109</v>
      </c>
      <c r="J249" t="str">
        <f t="shared" si="55"/>
        <v>515122</v>
      </c>
      <c r="K249" t="s">
        <v>4</v>
      </c>
      <c r="L249">
        <v>49</v>
      </c>
      <c r="M249">
        <v>49</v>
      </c>
      <c r="N249">
        <v>0</v>
      </c>
      <c r="O249" s="1">
        <v>45583.548946759256</v>
      </c>
      <c r="P249" t="s">
        <v>138</v>
      </c>
    </row>
    <row r="250" spans="1:16" x14ac:dyDescent="0.3">
      <c r="A250" t="s">
        <v>25</v>
      </c>
      <c r="B250" s="1">
        <v>45583.548946759256</v>
      </c>
      <c r="C250" t="str">
        <f t="shared" si="54"/>
        <v>41</v>
      </c>
      <c r="D250" t="s">
        <v>120</v>
      </c>
      <c r="E250" t="s">
        <v>116</v>
      </c>
      <c r="F250" t="s">
        <v>117</v>
      </c>
      <c r="H250" t="s">
        <v>159</v>
      </c>
      <c r="I250" t="str">
        <f>"101050002026453"</f>
        <v>101050002026453</v>
      </c>
      <c r="J250" t="str">
        <f t="shared" si="55"/>
        <v>515122</v>
      </c>
      <c r="K250" t="s">
        <v>4</v>
      </c>
      <c r="L250">
        <v>49</v>
      </c>
      <c r="M250">
        <v>49</v>
      </c>
      <c r="N250">
        <v>0</v>
      </c>
      <c r="O250" s="1">
        <v>45583.548946759256</v>
      </c>
      <c r="P250" t="s">
        <v>138</v>
      </c>
    </row>
    <row r="251" spans="1:16" x14ac:dyDescent="0.3">
      <c r="A251" t="s">
        <v>25</v>
      </c>
      <c r="B251" s="1">
        <v>45583.548946759256</v>
      </c>
      <c r="C251" t="str">
        <f t="shared" si="54"/>
        <v>41</v>
      </c>
      <c r="D251" t="s">
        <v>120</v>
      </c>
      <c r="E251" t="s">
        <v>116</v>
      </c>
      <c r="F251" t="s">
        <v>117</v>
      </c>
      <c r="H251" t="s">
        <v>159</v>
      </c>
      <c r="I251" t="str">
        <f>"101050002025820"</f>
        <v>101050002025820</v>
      </c>
      <c r="J251" t="str">
        <f t="shared" si="55"/>
        <v>515122</v>
      </c>
      <c r="K251" t="s">
        <v>4</v>
      </c>
      <c r="L251">
        <v>49</v>
      </c>
      <c r="M251">
        <v>49</v>
      </c>
      <c r="N251">
        <v>0</v>
      </c>
      <c r="O251" s="1">
        <v>45583.548946759256</v>
      </c>
      <c r="P251" t="s">
        <v>138</v>
      </c>
    </row>
    <row r="252" spans="1:16" x14ac:dyDescent="0.3">
      <c r="A252" t="s">
        <v>25</v>
      </c>
      <c r="B252" s="1">
        <v>45583.548946759256</v>
      </c>
      <c r="C252" t="str">
        <f t="shared" si="54"/>
        <v>41</v>
      </c>
      <c r="D252" t="s">
        <v>120</v>
      </c>
      <c r="E252" t="s">
        <v>116</v>
      </c>
      <c r="F252" t="s">
        <v>117</v>
      </c>
      <c r="H252" t="s">
        <v>159</v>
      </c>
      <c r="I252" t="str">
        <f>"101050002025546"</f>
        <v>101050002025546</v>
      </c>
      <c r="J252" t="str">
        <f t="shared" si="55"/>
        <v>515122</v>
      </c>
      <c r="K252" t="s">
        <v>4</v>
      </c>
      <c r="L252">
        <v>49</v>
      </c>
      <c r="M252">
        <v>49</v>
      </c>
      <c r="N252">
        <v>0</v>
      </c>
      <c r="O252" s="1">
        <v>45583.548946759256</v>
      </c>
      <c r="P252" t="s">
        <v>138</v>
      </c>
    </row>
    <row r="253" spans="1:16" x14ac:dyDescent="0.3">
      <c r="A253" t="s">
        <v>25</v>
      </c>
      <c r="B253" s="1">
        <v>45583.548946759256</v>
      </c>
      <c r="C253" t="str">
        <f t="shared" si="54"/>
        <v>41</v>
      </c>
      <c r="D253" t="s">
        <v>120</v>
      </c>
      <c r="E253" t="s">
        <v>116</v>
      </c>
      <c r="F253" t="s">
        <v>117</v>
      </c>
      <c r="H253" t="s">
        <v>159</v>
      </c>
      <c r="I253" t="str">
        <f>"101050002024732"</f>
        <v>101050002024732</v>
      </c>
      <c r="J253" t="str">
        <f t="shared" si="55"/>
        <v>515122</v>
      </c>
      <c r="K253" t="s">
        <v>4</v>
      </c>
      <c r="L253">
        <v>49</v>
      </c>
      <c r="M253">
        <v>49</v>
      </c>
      <c r="N253">
        <v>0</v>
      </c>
      <c r="O253" s="1">
        <v>45583.548946759256</v>
      </c>
      <c r="P253" t="s">
        <v>138</v>
      </c>
    </row>
    <row r="254" spans="1:16" x14ac:dyDescent="0.3">
      <c r="A254" t="s">
        <v>25</v>
      </c>
      <c r="B254" s="1">
        <v>45583.548935185187</v>
      </c>
      <c r="C254" t="str">
        <f t="shared" si="54"/>
        <v>41</v>
      </c>
      <c r="D254" t="s">
        <v>120</v>
      </c>
      <c r="E254" t="s">
        <v>116</v>
      </c>
      <c r="F254" t="s">
        <v>117</v>
      </c>
      <c r="H254" t="s">
        <v>159</v>
      </c>
      <c r="I254" t="str">
        <f>"101050002024731"</f>
        <v>101050002024731</v>
      </c>
      <c r="J254" t="str">
        <f t="shared" si="55"/>
        <v>515122</v>
      </c>
      <c r="K254" t="s">
        <v>4</v>
      </c>
      <c r="L254">
        <v>49</v>
      </c>
      <c r="M254">
        <v>49</v>
      </c>
      <c r="N254">
        <v>0</v>
      </c>
      <c r="O254" s="1">
        <v>45583.548935185187</v>
      </c>
      <c r="P254" t="s">
        <v>138</v>
      </c>
    </row>
    <row r="255" spans="1:16" x14ac:dyDescent="0.3">
      <c r="A255" t="s">
        <v>25</v>
      </c>
      <c r="B255" s="1">
        <v>45583.548981481479</v>
      </c>
      <c r="C255" t="str">
        <f t="shared" ref="C255:C263" si="56">"38"</f>
        <v>38</v>
      </c>
      <c r="D255" t="s">
        <v>115</v>
      </c>
      <c r="E255" t="s">
        <v>116</v>
      </c>
      <c r="F255" t="s">
        <v>117</v>
      </c>
      <c r="H255" t="s">
        <v>160</v>
      </c>
      <c r="L255">
        <v>0</v>
      </c>
      <c r="M255">
        <v>0</v>
      </c>
      <c r="N255">
        <v>0</v>
      </c>
      <c r="O255" s="1">
        <v>45583.548981481479</v>
      </c>
      <c r="P255" t="s">
        <v>125</v>
      </c>
    </row>
    <row r="256" spans="1:16" x14ac:dyDescent="0.3">
      <c r="A256" t="s">
        <v>25</v>
      </c>
      <c r="B256" s="1">
        <v>45583.546759259261</v>
      </c>
      <c r="C256" t="str">
        <f t="shared" si="56"/>
        <v>38</v>
      </c>
      <c r="D256" t="s">
        <v>115</v>
      </c>
      <c r="E256" t="s">
        <v>116</v>
      </c>
      <c r="F256" t="s">
        <v>117</v>
      </c>
      <c r="H256" t="s">
        <v>161</v>
      </c>
      <c r="L256">
        <v>0</v>
      </c>
      <c r="M256">
        <v>0</v>
      </c>
      <c r="N256">
        <v>0</v>
      </c>
      <c r="O256" s="1">
        <v>45583.546759259261</v>
      </c>
      <c r="P256" t="s">
        <v>119</v>
      </c>
    </row>
    <row r="257" spans="1:16" x14ac:dyDescent="0.3">
      <c r="A257" t="s">
        <v>25</v>
      </c>
      <c r="B257" s="1">
        <v>45583.546655092592</v>
      </c>
      <c r="C257" t="str">
        <f t="shared" si="56"/>
        <v>38</v>
      </c>
      <c r="D257" t="s">
        <v>115</v>
      </c>
      <c r="E257" t="s">
        <v>116</v>
      </c>
      <c r="F257" t="s">
        <v>117</v>
      </c>
      <c r="H257" t="s">
        <v>162</v>
      </c>
      <c r="L257">
        <v>0</v>
      </c>
      <c r="M257">
        <v>0</v>
      </c>
      <c r="N257">
        <v>0</v>
      </c>
      <c r="O257" s="1">
        <v>45583.546655092592</v>
      </c>
      <c r="P257" t="s">
        <v>119</v>
      </c>
    </row>
    <row r="258" spans="1:16" x14ac:dyDescent="0.3">
      <c r="A258" t="s">
        <v>25</v>
      </c>
      <c r="B258" s="1">
        <v>45583.546597222223</v>
      </c>
      <c r="C258" t="str">
        <f t="shared" si="56"/>
        <v>38</v>
      </c>
      <c r="D258" t="s">
        <v>115</v>
      </c>
      <c r="E258" t="s">
        <v>116</v>
      </c>
      <c r="F258" t="s">
        <v>117</v>
      </c>
      <c r="H258" t="s">
        <v>163</v>
      </c>
      <c r="L258">
        <v>0</v>
      </c>
      <c r="M258">
        <v>0</v>
      </c>
      <c r="N258">
        <v>0</v>
      </c>
      <c r="O258" s="1">
        <v>45583.546597222223</v>
      </c>
      <c r="P258" t="s">
        <v>119</v>
      </c>
    </row>
    <row r="259" spans="1:16" x14ac:dyDescent="0.3">
      <c r="A259" t="s">
        <v>25</v>
      </c>
      <c r="B259" s="1">
        <v>45583.546493055554</v>
      </c>
      <c r="C259" t="str">
        <f t="shared" si="56"/>
        <v>38</v>
      </c>
      <c r="D259" t="s">
        <v>115</v>
      </c>
      <c r="E259" t="s">
        <v>116</v>
      </c>
      <c r="F259" t="s">
        <v>117</v>
      </c>
      <c r="H259" t="s">
        <v>161</v>
      </c>
      <c r="L259">
        <v>0</v>
      </c>
      <c r="M259">
        <v>0</v>
      </c>
      <c r="N259">
        <v>0</v>
      </c>
      <c r="O259" s="1">
        <v>45583.546493055554</v>
      </c>
      <c r="P259" t="s">
        <v>119</v>
      </c>
    </row>
    <row r="260" spans="1:16" x14ac:dyDescent="0.3">
      <c r="A260" t="s">
        <v>25</v>
      </c>
      <c r="B260" s="1">
        <v>45583.546435185184</v>
      </c>
      <c r="C260" t="str">
        <f t="shared" si="56"/>
        <v>38</v>
      </c>
      <c r="D260" t="s">
        <v>115</v>
      </c>
      <c r="E260" t="s">
        <v>116</v>
      </c>
      <c r="F260" t="s">
        <v>117</v>
      </c>
      <c r="H260" t="s">
        <v>162</v>
      </c>
      <c r="L260">
        <v>0</v>
      </c>
      <c r="M260">
        <v>0</v>
      </c>
      <c r="N260">
        <v>0</v>
      </c>
      <c r="O260" s="1">
        <v>45583.546435185184</v>
      </c>
      <c r="P260" t="s">
        <v>119</v>
      </c>
    </row>
    <row r="261" spans="1:16" x14ac:dyDescent="0.3">
      <c r="A261" t="s">
        <v>25</v>
      </c>
      <c r="B261" s="1">
        <v>45583.546388888892</v>
      </c>
      <c r="C261" t="str">
        <f t="shared" si="56"/>
        <v>38</v>
      </c>
      <c r="D261" t="s">
        <v>115</v>
      </c>
      <c r="E261" t="s">
        <v>116</v>
      </c>
      <c r="F261" t="s">
        <v>117</v>
      </c>
      <c r="H261" t="s">
        <v>163</v>
      </c>
      <c r="L261">
        <v>0</v>
      </c>
      <c r="M261">
        <v>0</v>
      </c>
      <c r="N261">
        <v>0</v>
      </c>
      <c r="O261" s="1">
        <v>45583.546388888892</v>
      </c>
      <c r="P261" t="s">
        <v>119</v>
      </c>
    </row>
    <row r="262" spans="1:16" x14ac:dyDescent="0.3">
      <c r="A262" t="s">
        <v>25</v>
      </c>
      <c r="B262" s="1">
        <v>45583.546342592592</v>
      </c>
      <c r="C262" t="str">
        <f t="shared" si="56"/>
        <v>38</v>
      </c>
      <c r="D262" t="s">
        <v>115</v>
      </c>
      <c r="E262" t="s">
        <v>116</v>
      </c>
      <c r="F262" t="s">
        <v>117</v>
      </c>
      <c r="H262" t="s">
        <v>164</v>
      </c>
      <c r="L262">
        <v>0</v>
      </c>
      <c r="M262">
        <v>0</v>
      </c>
      <c r="N262">
        <v>0</v>
      </c>
      <c r="O262" s="1">
        <v>45583.546342592592</v>
      </c>
      <c r="P262" t="s">
        <v>119</v>
      </c>
    </row>
    <row r="263" spans="1:16" x14ac:dyDescent="0.3">
      <c r="A263" t="s">
        <v>25</v>
      </c>
      <c r="B263" s="1">
        <v>45583.550358796296</v>
      </c>
      <c r="C263" t="str">
        <f t="shared" si="56"/>
        <v>38</v>
      </c>
      <c r="D263" t="s">
        <v>115</v>
      </c>
      <c r="E263" t="s">
        <v>116</v>
      </c>
      <c r="F263" t="s">
        <v>117</v>
      </c>
      <c r="H263" t="s">
        <v>165</v>
      </c>
      <c r="L263">
        <v>0</v>
      </c>
      <c r="M263">
        <v>0</v>
      </c>
      <c r="N263">
        <v>0</v>
      </c>
      <c r="O263" s="1">
        <v>45583.550358796296</v>
      </c>
      <c r="P263" t="s">
        <v>122</v>
      </c>
    </row>
    <row r="264" spans="1:16" x14ac:dyDescent="0.3">
      <c r="A264" t="s">
        <v>25</v>
      </c>
      <c r="B264" s="1">
        <v>45583.550358796296</v>
      </c>
      <c r="C264" t="str">
        <f t="shared" ref="C264:C270" si="57">"41"</f>
        <v>41</v>
      </c>
      <c r="D264" t="s">
        <v>120</v>
      </c>
      <c r="E264" t="s">
        <v>116</v>
      </c>
      <c r="F264" t="s">
        <v>117</v>
      </c>
      <c r="H264" t="s">
        <v>165</v>
      </c>
      <c r="I264" t="str">
        <f>"101050002024091"</f>
        <v>101050002024091</v>
      </c>
      <c r="J264" t="str">
        <f t="shared" ref="J264:J270" si="58">"515122"</f>
        <v>515122</v>
      </c>
      <c r="K264" t="s">
        <v>4</v>
      </c>
      <c r="L264">
        <v>49</v>
      </c>
      <c r="M264">
        <v>49</v>
      </c>
      <c r="N264">
        <v>0</v>
      </c>
      <c r="O264" s="1">
        <v>45583.550358796296</v>
      </c>
      <c r="P264" t="s">
        <v>122</v>
      </c>
    </row>
    <row r="265" spans="1:16" x14ac:dyDescent="0.3">
      <c r="A265" t="s">
        <v>25</v>
      </c>
      <c r="B265" s="1">
        <v>45583.550358796296</v>
      </c>
      <c r="C265" t="str">
        <f t="shared" si="57"/>
        <v>41</v>
      </c>
      <c r="D265" t="s">
        <v>120</v>
      </c>
      <c r="E265" t="s">
        <v>116</v>
      </c>
      <c r="F265" t="s">
        <v>117</v>
      </c>
      <c r="H265" t="s">
        <v>165</v>
      </c>
      <c r="I265" t="str">
        <f>"101050002023873"</f>
        <v>101050002023873</v>
      </c>
      <c r="J265" t="str">
        <f t="shared" si="58"/>
        <v>515122</v>
      </c>
      <c r="K265" t="s">
        <v>4</v>
      </c>
      <c r="L265">
        <v>49</v>
      </c>
      <c r="M265">
        <v>49</v>
      </c>
      <c r="N265">
        <v>0</v>
      </c>
      <c r="O265" s="1">
        <v>45583.550358796296</v>
      </c>
      <c r="P265" t="s">
        <v>122</v>
      </c>
    </row>
    <row r="266" spans="1:16" x14ac:dyDescent="0.3">
      <c r="A266" t="s">
        <v>25</v>
      </c>
      <c r="B266" s="1">
        <v>45583.550358796296</v>
      </c>
      <c r="C266" t="str">
        <f t="shared" si="57"/>
        <v>41</v>
      </c>
      <c r="D266" t="s">
        <v>120</v>
      </c>
      <c r="E266" t="s">
        <v>116</v>
      </c>
      <c r="F266" t="s">
        <v>117</v>
      </c>
      <c r="H266" t="s">
        <v>165</v>
      </c>
      <c r="I266" t="str">
        <f>"101050002023425"</f>
        <v>101050002023425</v>
      </c>
      <c r="J266" t="str">
        <f t="shared" si="58"/>
        <v>515122</v>
      </c>
      <c r="K266" t="s">
        <v>4</v>
      </c>
      <c r="L266">
        <v>49</v>
      </c>
      <c r="M266">
        <v>49</v>
      </c>
      <c r="N266">
        <v>0</v>
      </c>
      <c r="O266" s="1">
        <v>45583.550358796296</v>
      </c>
      <c r="P266" t="s">
        <v>122</v>
      </c>
    </row>
    <row r="267" spans="1:16" x14ac:dyDescent="0.3">
      <c r="A267" t="s">
        <v>25</v>
      </c>
      <c r="B267" s="1">
        <v>45583.550358796296</v>
      </c>
      <c r="C267" t="str">
        <f t="shared" si="57"/>
        <v>41</v>
      </c>
      <c r="D267" t="s">
        <v>120</v>
      </c>
      <c r="E267" t="s">
        <v>116</v>
      </c>
      <c r="F267" t="s">
        <v>117</v>
      </c>
      <c r="H267" t="s">
        <v>165</v>
      </c>
      <c r="I267" t="str">
        <f>"101050002023423"</f>
        <v>101050002023423</v>
      </c>
      <c r="J267" t="str">
        <f t="shared" si="58"/>
        <v>515122</v>
      </c>
      <c r="K267" t="s">
        <v>4</v>
      </c>
      <c r="L267">
        <v>49</v>
      </c>
      <c r="M267">
        <v>49</v>
      </c>
      <c r="N267">
        <v>0</v>
      </c>
      <c r="O267" s="1">
        <v>45583.550358796296</v>
      </c>
      <c r="P267" t="s">
        <v>122</v>
      </c>
    </row>
    <row r="268" spans="1:16" x14ac:dyDescent="0.3">
      <c r="A268" t="s">
        <v>25</v>
      </c>
      <c r="B268" s="1">
        <v>45583.550358796296</v>
      </c>
      <c r="C268" t="str">
        <f t="shared" si="57"/>
        <v>41</v>
      </c>
      <c r="D268" t="s">
        <v>120</v>
      </c>
      <c r="E268" t="s">
        <v>116</v>
      </c>
      <c r="F268" t="s">
        <v>117</v>
      </c>
      <c r="H268" t="s">
        <v>165</v>
      </c>
      <c r="I268" t="str">
        <f>"101050002023901"</f>
        <v>101050002023901</v>
      </c>
      <c r="J268" t="str">
        <f t="shared" si="58"/>
        <v>515122</v>
      </c>
      <c r="K268" t="s">
        <v>4</v>
      </c>
      <c r="L268">
        <v>49</v>
      </c>
      <c r="M268">
        <v>49</v>
      </c>
      <c r="N268">
        <v>0</v>
      </c>
      <c r="O268" s="1">
        <v>45583.550358796296</v>
      </c>
      <c r="P268" t="s">
        <v>122</v>
      </c>
    </row>
    <row r="269" spans="1:16" x14ac:dyDescent="0.3">
      <c r="A269" t="s">
        <v>25</v>
      </c>
      <c r="B269" s="1">
        <v>45583.550347222219</v>
      </c>
      <c r="C269" t="str">
        <f t="shared" si="57"/>
        <v>41</v>
      </c>
      <c r="D269" t="s">
        <v>120</v>
      </c>
      <c r="E269" t="s">
        <v>116</v>
      </c>
      <c r="F269" t="s">
        <v>117</v>
      </c>
      <c r="H269" t="s">
        <v>165</v>
      </c>
      <c r="I269" t="str">
        <f>"101050002024071"</f>
        <v>101050002024071</v>
      </c>
      <c r="J269" t="str">
        <f t="shared" si="58"/>
        <v>515122</v>
      </c>
      <c r="K269" t="s">
        <v>4</v>
      </c>
      <c r="L269">
        <v>49</v>
      </c>
      <c r="M269">
        <v>49</v>
      </c>
      <c r="N269">
        <v>0</v>
      </c>
      <c r="O269" s="1">
        <v>45583.550347222219</v>
      </c>
      <c r="P269" t="s">
        <v>122</v>
      </c>
    </row>
    <row r="270" spans="1:16" x14ac:dyDescent="0.3">
      <c r="A270" t="s">
        <v>25</v>
      </c>
      <c r="B270" s="1">
        <v>45583.550347222219</v>
      </c>
      <c r="C270" t="str">
        <f t="shared" si="57"/>
        <v>41</v>
      </c>
      <c r="D270" t="s">
        <v>120</v>
      </c>
      <c r="E270" t="s">
        <v>116</v>
      </c>
      <c r="F270" t="s">
        <v>117</v>
      </c>
      <c r="H270" t="s">
        <v>165</v>
      </c>
      <c r="I270" t="str">
        <f>"101050002023900"</f>
        <v>101050002023900</v>
      </c>
      <c r="J270" t="str">
        <f t="shared" si="58"/>
        <v>515122</v>
      </c>
      <c r="K270" t="s">
        <v>4</v>
      </c>
      <c r="L270">
        <v>49</v>
      </c>
      <c r="M270">
        <v>49</v>
      </c>
      <c r="N270">
        <v>0</v>
      </c>
      <c r="O270" s="1">
        <v>45583.550347222219</v>
      </c>
      <c r="P270" t="s">
        <v>122</v>
      </c>
    </row>
    <row r="271" spans="1:16" x14ac:dyDescent="0.3">
      <c r="A271" t="s">
        <v>25</v>
      </c>
      <c r="B271" s="1">
        <v>45583.54891203704</v>
      </c>
      <c r="C271" t="str">
        <f>"38"</f>
        <v>38</v>
      </c>
      <c r="D271" t="s">
        <v>115</v>
      </c>
      <c r="E271" t="s">
        <v>116</v>
      </c>
      <c r="F271" t="s">
        <v>117</v>
      </c>
      <c r="H271" t="s">
        <v>166</v>
      </c>
      <c r="L271">
        <v>0</v>
      </c>
      <c r="M271">
        <v>0</v>
      </c>
      <c r="N271">
        <v>0</v>
      </c>
      <c r="O271" s="1">
        <v>45583.54891203704</v>
      </c>
      <c r="P271" t="s">
        <v>122</v>
      </c>
    </row>
    <row r="272" spans="1:16" x14ac:dyDescent="0.3">
      <c r="A272" t="s">
        <v>25</v>
      </c>
      <c r="B272" s="1">
        <v>45583.54891203704</v>
      </c>
      <c r="C272" t="str">
        <f t="shared" ref="C272:C278" si="59">"41"</f>
        <v>41</v>
      </c>
      <c r="D272" t="s">
        <v>120</v>
      </c>
      <c r="E272" t="s">
        <v>116</v>
      </c>
      <c r="F272" t="s">
        <v>117</v>
      </c>
      <c r="H272" t="s">
        <v>166</v>
      </c>
      <c r="I272" t="str">
        <f>"101050002027142"</f>
        <v>101050002027142</v>
      </c>
      <c r="J272" t="str">
        <f t="shared" ref="J272:J278" si="60">"127802"</f>
        <v>127802</v>
      </c>
      <c r="K272" t="s">
        <v>6</v>
      </c>
      <c r="L272">
        <v>91</v>
      </c>
      <c r="M272">
        <v>91</v>
      </c>
      <c r="N272">
        <v>0</v>
      </c>
      <c r="O272" s="1">
        <v>45583.54891203704</v>
      </c>
      <c r="P272" t="s">
        <v>122</v>
      </c>
    </row>
    <row r="273" spans="1:16" x14ac:dyDescent="0.3">
      <c r="A273" t="s">
        <v>25</v>
      </c>
      <c r="B273" s="1">
        <v>45583.548900462964</v>
      </c>
      <c r="C273" t="str">
        <f t="shared" si="59"/>
        <v>41</v>
      </c>
      <c r="D273" t="s">
        <v>120</v>
      </c>
      <c r="E273" t="s">
        <v>116</v>
      </c>
      <c r="F273" t="s">
        <v>117</v>
      </c>
      <c r="H273" t="s">
        <v>166</v>
      </c>
      <c r="I273" t="str">
        <f>"101050002026836"</f>
        <v>101050002026836</v>
      </c>
      <c r="J273" t="str">
        <f t="shared" si="60"/>
        <v>127802</v>
      </c>
      <c r="K273" t="s">
        <v>6</v>
      </c>
      <c r="L273">
        <v>91</v>
      </c>
      <c r="M273">
        <v>91</v>
      </c>
      <c r="N273">
        <v>0</v>
      </c>
      <c r="O273" s="1">
        <v>45583.548900462964</v>
      </c>
      <c r="P273" t="s">
        <v>122</v>
      </c>
    </row>
    <row r="274" spans="1:16" x14ac:dyDescent="0.3">
      <c r="A274" t="s">
        <v>25</v>
      </c>
      <c r="B274" s="1">
        <v>45583.548900462964</v>
      </c>
      <c r="C274" t="str">
        <f t="shared" si="59"/>
        <v>41</v>
      </c>
      <c r="D274" t="s">
        <v>120</v>
      </c>
      <c r="E274" t="s">
        <v>116</v>
      </c>
      <c r="F274" t="s">
        <v>117</v>
      </c>
      <c r="H274" t="s">
        <v>166</v>
      </c>
      <c r="I274" t="str">
        <f>"101050002024853"</f>
        <v>101050002024853</v>
      </c>
      <c r="J274" t="str">
        <f t="shared" si="60"/>
        <v>127802</v>
      </c>
      <c r="K274" t="s">
        <v>6</v>
      </c>
      <c r="L274">
        <v>91</v>
      </c>
      <c r="M274">
        <v>91</v>
      </c>
      <c r="N274">
        <v>0</v>
      </c>
      <c r="O274" s="1">
        <v>45583.548900462964</v>
      </c>
      <c r="P274" t="s">
        <v>122</v>
      </c>
    </row>
    <row r="275" spans="1:16" x14ac:dyDescent="0.3">
      <c r="A275" t="s">
        <v>25</v>
      </c>
      <c r="B275" s="1">
        <v>45583.548900462964</v>
      </c>
      <c r="C275" t="str">
        <f t="shared" si="59"/>
        <v>41</v>
      </c>
      <c r="D275" t="s">
        <v>120</v>
      </c>
      <c r="E275" t="s">
        <v>116</v>
      </c>
      <c r="F275" t="s">
        <v>117</v>
      </c>
      <c r="H275" t="s">
        <v>166</v>
      </c>
      <c r="I275" t="str">
        <f>"101050002026390"</f>
        <v>101050002026390</v>
      </c>
      <c r="J275" t="str">
        <f t="shared" si="60"/>
        <v>127802</v>
      </c>
      <c r="K275" t="s">
        <v>6</v>
      </c>
      <c r="L275">
        <v>91</v>
      </c>
      <c r="M275">
        <v>91</v>
      </c>
      <c r="N275">
        <v>0</v>
      </c>
      <c r="O275" s="1">
        <v>45583.548900462964</v>
      </c>
      <c r="P275" t="s">
        <v>122</v>
      </c>
    </row>
    <row r="276" spans="1:16" x14ac:dyDescent="0.3">
      <c r="A276" t="s">
        <v>25</v>
      </c>
      <c r="B276" s="1">
        <v>45583.548900462964</v>
      </c>
      <c r="C276" t="str">
        <f t="shared" si="59"/>
        <v>41</v>
      </c>
      <c r="D276" t="s">
        <v>120</v>
      </c>
      <c r="E276" t="s">
        <v>116</v>
      </c>
      <c r="F276" t="s">
        <v>117</v>
      </c>
      <c r="H276" t="s">
        <v>166</v>
      </c>
      <c r="I276" t="str">
        <f>"101620000471664"</f>
        <v>101620000471664</v>
      </c>
      <c r="J276" t="str">
        <f t="shared" si="60"/>
        <v>127802</v>
      </c>
      <c r="K276" t="s">
        <v>6</v>
      </c>
      <c r="L276">
        <v>91</v>
      </c>
      <c r="M276">
        <v>91</v>
      </c>
      <c r="N276">
        <v>0</v>
      </c>
      <c r="O276" s="1">
        <v>45583.548900462964</v>
      </c>
      <c r="P276" t="s">
        <v>122</v>
      </c>
    </row>
    <row r="277" spans="1:16" x14ac:dyDescent="0.3">
      <c r="A277" t="s">
        <v>25</v>
      </c>
      <c r="B277" s="1">
        <v>45583.548900462964</v>
      </c>
      <c r="C277" t="str">
        <f t="shared" si="59"/>
        <v>41</v>
      </c>
      <c r="D277" t="s">
        <v>120</v>
      </c>
      <c r="E277" t="s">
        <v>116</v>
      </c>
      <c r="F277" t="s">
        <v>117</v>
      </c>
      <c r="H277" t="s">
        <v>166</v>
      </c>
      <c r="I277" t="str">
        <f>"101620000471666"</f>
        <v>101620000471666</v>
      </c>
      <c r="J277" t="str">
        <f t="shared" si="60"/>
        <v>127802</v>
      </c>
      <c r="K277" t="s">
        <v>6</v>
      </c>
      <c r="L277">
        <v>91</v>
      </c>
      <c r="M277">
        <v>91</v>
      </c>
      <c r="N277">
        <v>0</v>
      </c>
      <c r="O277" s="1">
        <v>45583.548900462964</v>
      </c>
      <c r="P277" t="s">
        <v>122</v>
      </c>
    </row>
    <row r="278" spans="1:16" x14ac:dyDescent="0.3">
      <c r="A278" t="s">
        <v>25</v>
      </c>
      <c r="B278" s="1">
        <v>45583.548900462964</v>
      </c>
      <c r="C278" t="str">
        <f t="shared" si="59"/>
        <v>41</v>
      </c>
      <c r="D278" t="s">
        <v>120</v>
      </c>
      <c r="E278" t="s">
        <v>116</v>
      </c>
      <c r="F278" t="s">
        <v>117</v>
      </c>
      <c r="H278" t="s">
        <v>166</v>
      </c>
      <c r="I278" t="str">
        <f>"101620000471665"</f>
        <v>101620000471665</v>
      </c>
      <c r="J278" t="str">
        <f t="shared" si="60"/>
        <v>127802</v>
      </c>
      <c r="K278" t="s">
        <v>6</v>
      </c>
      <c r="L278">
        <v>91</v>
      </c>
      <c r="M278">
        <v>91</v>
      </c>
      <c r="N278">
        <v>0</v>
      </c>
      <c r="O278" s="1">
        <v>45583.548900462964</v>
      </c>
      <c r="P278" t="s">
        <v>122</v>
      </c>
    </row>
    <row r="279" spans="1:16" x14ac:dyDescent="0.3">
      <c r="A279" t="s">
        <v>25</v>
      </c>
      <c r="B279" s="1">
        <v>45583.546284722222</v>
      </c>
      <c r="C279" t="str">
        <f>"38"</f>
        <v>38</v>
      </c>
      <c r="D279" t="s">
        <v>115</v>
      </c>
      <c r="E279" t="s">
        <v>116</v>
      </c>
      <c r="F279" t="s">
        <v>117</v>
      </c>
      <c r="H279" t="s">
        <v>167</v>
      </c>
      <c r="L279">
        <v>0</v>
      </c>
      <c r="M279">
        <v>0</v>
      </c>
      <c r="N279">
        <v>0</v>
      </c>
      <c r="O279" s="1">
        <v>45583.546284722222</v>
      </c>
      <c r="P279" t="s">
        <v>119</v>
      </c>
    </row>
    <row r="280" spans="1:16" x14ac:dyDescent="0.3">
      <c r="A280" t="s">
        <v>25</v>
      </c>
      <c r="B280" s="1">
        <v>45583.545717592591</v>
      </c>
      <c r="C280" t="str">
        <f>"38"</f>
        <v>38</v>
      </c>
      <c r="D280" t="s">
        <v>115</v>
      </c>
      <c r="E280" t="s">
        <v>116</v>
      </c>
      <c r="F280" t="s">
        <v>117</v>
      </c>
      <c r="H280" t="s">
        <v>168</v>
      </c>
      <c r="L280">
        <v>0</v>
      </c>
      <c r="M280">
        <v>0</v>
      </c>
      <c r="N280">
        <v>0</v>
      </c>
      <c r="O280" s="1">
        <v>45583.545717592591</v>
      </c>
      <c r="P280" t="s">
        <v>119</v>
      </c>
    </row>
    <row r="281" spans="1:16" x14ac:dyDescent="0.3">
      <c r="A281" t="s">
        <v>25</v>
      </c>
      <c r="B281" s="1">
        <v>45583.545717592591</v>
      </c>
      <c r="C281" t="str">
        <f t="shared" ref="C281:C287" si="61">"41"</f>
        <v>41</v>
      </c>
      <c r="D281" t="s">
        <v>120</v>
      </c>
      <c r="E281" t="s">
        <v>116</v>
      </c>
      <c r="F281" t="s">
        <v>117</v>
      </c>
      <c r="H281" t="s">
        <v>168</v>
      </c>
      <c r="I281" t="str">
        <f>"101050001976450"</f>
        <v>101050001976450</v>
      </c>
      <c r="J281" t="str">
        <f t="shared" ref="J281:J287" si="62">"126475"</f>
        <v>126475</v>
      </c>
      <c r="K281" t="s">
        <v>22</v>
      </c>
      <c r="L281">
        <v>49</v>
      </c>
      <c r="M281">
        <v>49</v>
      </c>
      <c r="N281">
        <v>0</v>
      </c>
      <c r="O281" s="1">
        <v>45583.545717592591</v>
      </c>
      <c r="P281" t="s">
        <v>119</v>
      </c>
    </row>
    <row r="282" spans="1:16" x14ac:dyDescent="0.3">
      <c r="A282" t="s">
        <v>25</v>
      </c>
      <c r="B282" s="1">
        <v>45583.545717592591</v>
      </c>
      <c r="C282" t="str">
        <f t="shared" si="61"/>
        <v>41</v>
      </c>
      <c r="D282" t="s">
        <v>120</v>
      </c>
      <c r="E282" t="s">
        <v>116</v>
      </c>
      <c r="F282" t="s">
        <v>117</v>
      </c>
      <c r="H282" t="s">
        <v>168</v>
      </c>
      <c r="I282" t="str">
        <f>"101050001976731"</f>
        <v>101050001976731</v>
      </c>
      <c r="J282" t="str">
        <f t="shared" si="62"/>
        <v>126475</v>
      </c>
      <c r="K282" t="s">
        <v>22</v>
      </c>
      <c r="L282">
        <v>49</v>
      </c>
      <c r="M282">
        <v>49</v>
      </c>
      <c r="N282">
        <v>0</v>
      </c>
      <c r="O282" s="1">
        <v>45583.545717592591</v>
      </c>
      <c r="P282" t="s">
        <v>119</v>
      </c>
    </row>
    <row r="283" spans="1:16" x14ac:dyDescent="0.3">
      <c r="A283" t="s">
        <v>25</v>
      </c>
      <c r="B283" s="1">
        <v>45583.545717592591</v>
      </c>
      <c r="C283" t="str">
        <f t="shared" si="61"/>
        <v>41</v>
      </c>
      <c r="D283" t="s">
        <v>120</v>
      </c>
      <c r="E283" t="s">
        <v>116</v>
      </c>
      <c r="F283" t="s">
        <v>117</v>
      </c>
      <c r="H283" t="s">
        <v>168</v>
      </c>
      <c r="I283" t="str">
        <f>"101050001976730"</f>
        <v>101050001976730</v>
      </c>
      <c r="J283" t="str">
        <f t="shared" si="62"/>
        <v>126475</v>
      </c>
      <c r="K283" t="s">
        <v>22</v>
      </c>
      <c r="L283">
        <v>49</v>
      </c>
      <c r="M283">
        <v>49</v>
      </c>
      <c r="N283">
        <v>0</v>
      </c>
      <c r="O283" s="1">
        <v>45583.545717592591</v>
      </c>
      <c r="P283" t="s">
        <v>119</v>
      </c>
    </row>
    <row r="284" spans="1:16" x14ac:dyDescent="0.3">
      <c r="A284" t="s">
        <v>25</v>
      </c>
      <c r="B284" s="1">
        <v>45583.545717592591</v>
      </c>
      <c r="C284" t="str">
        <f t="shared" si="61"/>
        <v>41</v>
      </c>
      <c r="D284" t="s">
        <v>120</v>
      </c>
      <c r="E284" t="s">
        <v>116</v>
      </c>
      <c r="F284" t="s">
        <v>117</v>
      </c>
      <c r="H284" t="s">
        <v>168</v>
      </c>
      <c r="I284" t="str">
        <f>"101050001975798"</f>
        <v>101050001975798</v>
      </c>
      <c r="J284" t="str">
        <f t="shared" si="62"/>
        <v>126475</v>
      </c>
      <c r="K284" t="s">
        <v>22</v>
      </c>
      <c r="L284">
        <v>49</v>
      </c>
      <c r="M284">
        <v>49</v>
      </c>
      <c r="N284">
        <v>0</v>
      </c>
      <c r="O284" s="1">
        <v>45583.545717592591</v>
      </c>
      <c r="P284" t="s">
        <v>119</v>
      </c>
    </row>
    <row r="285" spans="1:16" x14ac:dyDescent="0.3">
      <c r="A285" t="s">
        <v>25</v>
      </c>
      <c r="B285" s="1">
        <v>45583.545717592591</v>
      </c>
      <c r="C285" t="str">
        <f t="shared" si="61"/>
        <v>41</v>
      </c>
      <c r="D285" t="s">
        <v>120</v>
      </c>
      <c r="E285" t="s">
        <v>116</v>
      </c>
      <c r="F285" t="s">
        <v>117</v>
      </c>
      <c r="H285" t="s">
        <v>168</v>
      </c>
      <c r="I285" t="str">
        <f>"101050001975799"</f>
        <v>101050001975799</v>
      </c>
      <c r="J285" t="str">
        <f t="shared" si="62"/>
        <v>126475</v>
      </c>
      <c r="K285" t="s">
        <v>22</v>
      </c>
      <c r="L285">
        <v>49</v>
      </c>
      <c r="M285">
        <v>49</v>
      </c>
      <c r="N285">
        <v>0</v>
      </c>
      <c r="O285" s="1">
        <v>45583.545717592591</v>
      </c>
      <c r="P285" t="s">
        <v>119</v>
      </c>
    </row>
    <row r="286" spans="1:16" x14ac:dyDescent="0.3">
      <c r="A286" t="s">
        <v>25</v>
      </c>
      <c r="B286" s="1">
        <v>45583.545706018522</v>
      </c>
      <c r="C286" t="str">
        <f t="shared" si="61"/>
        <v>41</v>
      </c>
      <c r="D286" t="s">
        <v>120</v>
      </c>
      <c r="E286" t="s">
        <v>116</v>
      </c>
      <c r="F286" t="s">
        <v>117</v>
      </c>
      <c r="H286" t="s">
        <v>168</v>
      </c>
      <c r="I286" t="str">
        <f>"101050001976060"</f>
        <v>101050001976060</v>
      </c>
      <c r="J286" t="str">
        <f t="shared" si="62"/>
        <v>126475</v>
      </c>
      <c r="K286" t="s">
        <v>22</v>
      </c>
      <c r="L286">
        <v>49</v>
      </c>
      <c r="M286">
        <v>49</v>
      </c>
      <c r="N286">
        <v>0</v>
      </c>
      <c r="O286" s="1">
        <v>45583.545706018522</v>
      </c>
      <c r="P286" t="s">
        <v>119</v>
      </c>
    </row>
    <row r="287" spans="1:16" x14ac:dyDescent="0.3">
      <c r="A287" t="s">
        <v>25</v>
      </c>
      <c r="B287" s="1">
        <v>45583.545706018522</v>
      </c>
      <c r="C287" t="str">
        <f t="shared" si="61"/>
        <v>41</v>
      </c>
      <c r="D287" t="s">
        <v>120</v>
      </c>
      <c r="E287" t="s">
        <v>116</v>
      </c>
      <c r="F287" t="s">
        <v>117</v>
      </c>
      <c r="H287" t="s">
        <v>168</v>
      </c>
      <c r="I287" t="str">
        <f>"101050001975797"</f>
        <v>101050001975797</v>
      </c>
      <c r="J287" t="str">
        <f t="shared" si="62"/>
        <v>126475</v>
      </c>
      <c r="K287" t="s">
        <v>22</v>
      </c>
      <c r="L287">
        <v>49</v>
      </c>
      <c r="M287">
        <v>49</v>
      </c>
      <c r="N287">
        <v>0</v>
      </c>
      <c r="O287" s="1">
        <v>45583.545706018522</v>
      </c>
      <c r="P287" t="s">
        <v>119</v>
      </c>
    </row>
    <row r="288" spans="1:16" x14ac:dyDescent="0.3">
      <c r="A288" t="s">
        <v>25</v>
      </c>
      <c r="B288" s="1">
        <v>45583.54409722222</v>
      </c>
      <c r="C288" t="str">
        <f t="shared" ref="C288:C293" si="63">"38"</f>
        <v>38</v>
      </c>
      <c r="D288" t="s">
        <v>115</v>
      </c>
      <c r="E288" t="s">
        <v>116</v>
      </c>
      <c r="F288" t="s">
        <v>117</v>
      </c>
      <c r="H288" t="s">
        <v>169</v>
      </c>
      <c r="L288">
        <v>0</v>
      </c>
      <c r="M288">
        <v>0</v>
      </c>
      <c r="N288">
        <v>0</v>
      </c>
      <c r="O288" s="1">
        <v>45583.54409722222</v>
      </c>
      <c r="P288" t="s">
        <v>119</v>
      </c>
    </row>
    <row r="289" spans="1:16" x14ac:dyDescent="0.3">
      <c r="A289" t="s">
        <v>25</v>
      </c>
      <c r="B289" s="1">
        <v>45583.544039351851</v>
      </c>
      <c r="C289" t="str">
        <f t="shared" si="63"/>
        <v>38</v>
      </c>
      <c r="D289" t="s">
        <v>115</v>
      </c>
      <c r="E289" t="s">
        <v>116</v>
      </c>
      <c r="F289" t="s">
        <v>117</v>
      </c>
      <c r="H289" t="s">
        <v>170</v>
      </c>
      <c r="L289">
        <v>0</v>
      </c>
      <c r="M289">
        <v>0</v>
      </c>
      <c r="N289">
        <v>0</v>
      </c>
      <c r="O289" s="1">
        <v>45583.544039351851</v>
      </c>
      <c r="P289" t="s">
        <v>119</v>
      </c>
    </row>
    <row r="290" spans="1:16" x14ac:dyDescent="0.3">
      <c r="A290" t="s">
        <v>25</v>
      </c>
      <c r="B290" s="1">
        <v>45583.543993055559</v>
      </c>
      <c r="C290" t="str">
        <f t="shared" si="63"/>
        <v>38</v>
      </c>
      <c r="D290" t="s">
        <v>115</v>
      </c>
      <c r="E290" t="s">
        <v>116</v>
      </c>
      <c r="F290" t="s">
        <v>117</v>
      </c>
      <c r="H290" t="s">
        <v>171</v>
      </c>
      <c r="L290">
        <v>0</v>
      </c>
      <c r="M290">
        <v>0</v>
      </c>
      <c r="N290">
        <v>0</v>
      </c>
      <c r="O290" s="1">
        <v>45583.543993055559</v>
      </c>
      <c r="P290" t="s">
        <v>119</v>
      </c>
    </row>
    <row r="291" spans="1:16" x14ac:dyDescent="0.3">
      <c r="A291" t="s">
        <v>25</v>
      </c>
      <c r="B291" s="1">
        <v>45583.543946759259</v>
      </c>
      <c r="C291" t="str">
        <f t="shared" si="63"/>
        <v>38</v>
      </c>
      <c r="D291" t="s">
        <v>115</v>
      </c>
      <c r="E291" t="s">
        <v>116</v>
      </c>
      <c r="F291" t="s">
        <v>117</v>
      </c>
      <c r="H291" t="s">
        <v>172</v>
      </c>
      <c r="L291">
        <v>0</v>
      </c>
      <c r="M291">
        <v>0</v>
      </c>
      <c r="N291">
        <v>0</v>
      </c>
      <c r="O291" s="1">
        <v>45583.543946759259</v>
      </c>
      <c r="P291" t="s">
        <v>119</v>
      </c>
    </row>
    <row r="292" spans="1:16" x14ac:dyDescent="0.3">
      <c r="A292" t="s">
        <v>25</v>
      </c>
      <c r="B292" s="1">
        <v>45583.543888888889</v>
      </c>
      <c r="C292" t="str">
        <f t="shared" si="63"/>
        <v>38</v>
      </c>
      <c r="D292" t="s">
        <v>115</v>
      </c>
      <c r="E292" t="s">
        <v>116</v>
      </c>
      <c r="F292" t="s">
        <v>117</v>
      </c>
      <c r="H292" t="s">
        <v>173</v>
      </c>
      <c r="L292">
        <v>0</v>
      </c>
      <c r="M292">
        <v>0</v>
      </c>
      <c r="N292">
        <v>0</v>
      </c>
      <c r="O292" s="1">
        <v>45583.543888888889</v>
      </c>
      <c r="P292" t="s">
        <v>119</v>
      </c>
    </row>
    <row r="293" spans="1:16" x14ac:dyDescent="0.3">
      <c r="A293" t="s">
        <v>25</v>
      </c>
      <c r="B293" s="1">
        <v>45583.543344907404</v>
      </c>
      <c r="C293" t="str">
        <f t="shared" si="63"/>
        <v>38</v>
      </c>
      <c r="D293" t="s">
        <v>115</v>
      </c>
      <c r="E293" t="s">
        <v>116</v>
      </c>
      <c r="F293" t="s">
        <v>117</v>
      </c>
      <c r="H293" t="s">
        <v>174</v>
      </c>
      <c r="L293">
        <v>0</v>
      </c>
      <c r="M293">
        <v>0</v>
      </c>
      <c r="N293">
        <v>0</v>
      </c>
      <c r="O293" s="1">
        <v>45583.543344907404</v>
      </c>
      <c r="P293" t="s">
        <v>119</v>
      </c>
    </row>
    <row r="294" spans="1:16" x14ac:dyDescent="0.3">
      <c r="A294" t="s">
        <v>25</v>
      </c>
      <c r="B294" s="1">
        <v>45583.543344907404</v>
      </c>
      <c r="C294" t="str">
        <f>"41"</f>
        <v>41</v>
      </c>
      <c r="D294" t="s">
        <v>120</v>
      </c>
      <c r="E294" t="s">
        <v>116</v>
      </c>
      <c r="F294" t="s">
        <v>117</v>
      </c>
      <c r="H294" t="s">
        <v>174</v>
      </c>
      <c r="I294" t="str">
        <f>"101050002007363"</f>
        <v>101050002007363</v>
      </c>
      <c r="J294" t="str">
        <f>"127205"</f>
        <v>127205</v>
      </c>
      <c r="K294" t="s">
        <v>56</v>
      </c>
      <c r="L294">
        <v>90</v>
      </c>
      <c r="M294">
        <v>90</v>
      </c>
      <c r="N294">
        <v>0</v>
      </c>
      <c r="O294" s="1">
        <v>45583.543344907404</v>
      </c>
      <c r="P294" t="s">
        <v>119</v>
      </c>
    </row>
    <row r="295" spans="1:16" x14ac:dyDescent="0.3">
      <c r="A295" t="s">
        <v>25</v>
      </c>
      <c r="B295" s="1">
        <v>45583.543333333335</v>
      </c>
      <c r="C295" t="str">
        <f>"41"</f>
        <v>41</v>
      </c>
      <c r="D295" t="s">
        <v>120</v>
      </c>
      <c r="E295" t="s">
        <v>116</v>
      </c>
      <c r="F295" t="s">
        <v>117</v>
      </c>
      <c r="H295" t="s">
        <v>174</v>
      </c>
      <c r="I295" t="str">
        <f>"101050002004415"</f>
        <v>101050002004415</v>
      </c>
      <c r="J295" t="str">
        <f>"127205"</f>
        <v>127205</v>
      </c>
      <c r="K295" t="s">
        <v>56</v>
      </c>
      <c r="L295">
        <v>90</v>
      </c>
      <c r="M295">
        <v>90</v>
      </c>
      <c r="N295">
        <v>0</v>
      </c>
      <c r="O295" s="1">
        <v>45583.543333333335</v>
      </c>
      <c r="P295" t="s">
        <v>119</v>
      </c>
    </row>
    <row r="296" spans="1:16" x14ac:dyDescent="0.3">
      <c r="A296" t="s">
        <v>25</v>
      </c>
      <c r="B296" s="1">
        <v>45583.543333333335</v>
      </c>
      <c r="C296" t="str">
        <f>"41"</f>
        <v>41</v>
      </c>
      <c r="D296" t="s">
        <v>120</v>
      </c>
      <c r="E296" t="s">
        <v>116</v>
      </c>
      <c r="F296" t="s">
        <v>117</v>
      </c>
      <c r="H296" t="s">
        <v>174</v>
      </c>
      <c r="I296" t="str">
        <f>"101050002004417"</f>
        <v>101050002004417</v>
      </c>
      <c r="J296" t="str">
        <f>"127205"</f>
        <v>127205</v>
      </c>
      <c r="K296" t="s">
        <v>56</v>
      </c>
      <c r="L296">
        <v>90</v>
      </c>
      <c r="M296">
        <v>90</v>
      </c>
      <c r="N296">
        <v>0</v>
      </c>
      <c r="O296" s="1">
        <v>45583.543333333335</v>
      </c>
      <c r="P296" t="s">
        <v>119</v>
      </c>
    </row>
    <row r="297" spans="1:16" x14ac:dyDescent="0.3">
      <c r="A297" t="s">
        <v>25</v>
      </c>
      <c r="B297" s="1">
        <v>45583.543333333335</v>
      </c>
      <c r="C297" t="str">
        <f>"41"</f>
        <v>41</v>
      </c>
      <c r="D297" t="s">
        <v>120</v>
      </c>
      <c r="E297" t="s">
        <v>116</v>
      </c>
      <c r="F297" t="s">
        <v>117</v>
      </c>
      <c r="H297" t="s">
        <v>174</v>
      </c>
      <c r="I297" t="str">
        <f>"101050002004416"</f>
        <v>101050002004416</v>
      </c>
      <c r="J297" t="str">
        <f>"127205"</f>
        <v>127205</v>
      </c>
      <c r="K297" t="s">
        <v>56</v>
      </c>
      <c r="L297">
        <v>90</v>
      </c>
      <c r="M297">
        <v>90</v>
      </c>
      <c r="N297">
        <v>0</v>
      </c>
      <c r="O297" s="1">
        <v>45583.543333333335</v>
      </c>
      <c r="P297" t="s">
        <v>119</v>
      </c>
    </row>
    <row r="298" spans="1:16" x14ac:dyDescent="0.3">
      <c r="A298" t="s">
        <v>25</v>
      </c>
      <c r="B298" s="1">
        <v>45583.543009259258</v>
      </c>
      <c r="C298" t="str">
        <f>"38"</f>
        <v>38</v>
      </c>
      <c r="D298" t="s">
        <v>115</v>
      </c>
      <c r="E298" t="s">
        <v>116</v>
      </c>
      <c r="F298" t="s">
        <v>117</v>
      </c>
      <c r="H298" t="s">
        <v>175</v>
      </c>
      <c r="L298">
        <v>0</v>
      </c>
      <c r="M298">
        <v>0</v>
      </c>
      <c r="N298">
        <v>0</v>
      </c>
      <c r="O298" s="1">
        <v>45583.543009259258</v>
      </c>
      <c r="P298" t="s">
        <v>119</v>
      </c>
    </row>
    <row r="299" spans="1:16" x14ac:dyDescent="0.3">
      <c r="A299" t="s">
        <v>25</v>
      </c>
      <c r="B299" s="1">
        <v>45583.543009259258</v>
      </c>
      <c r="C299" t="str">
        <f>"41"</f>
        <v>41</v>
      </c>
      <c r="D299" t="s">
        <v>120</v>
      </c>
      <c r="E299" t="s">
        <v>116</v>
      </c>
      <c r="F299" t="s">
        <v>117</v>
      </c>
      <c r="H299" t="s">
        <v>175</v>
      </c>
      <c r="I299" t="str">
        <f>"101050001996193"</f>
        <v>101050001996193</v>
      </c>
      <c r="J299" t="str">
        <f>"127924"</f>
        <v>127924</v>
      </c>
      <c r="K299" t="s">
        <v>3</v>
      </c>
      <c r="L299">
        <v>49</v>
      </c>
      <c r="M299">
        <v>49</v>
      </c>
      <c r="N299">
        <v>0</v>
      </c>
      <c r="O299" s="1">
        <v>45583.543009259258</v>
      </c>
      <c r="P299" t="s">
        <v>119</v>
      </c>
    </row>
    <row r="300" spans="1:16" x14ac:dyDescent="0.3">
      <c r="A300" t="s">
        <v>25</v>
      </c>
      <c r="B300" s="1">
        <v>45583.542557870373</v>
      </c>
      <c r="C300" t="str">
        <f t="shared" ref="C300:C309" si="64">"38"</f>
        <v>38</v>
      </c>
      <c r="D300" t="s">
        <v>115</v>
      </c>
      <c r="E300" t="s">
        <v>116</v>
      </c>
      <c r="F300" t="s">
        <v>117</v>
      </c>
      <c r="H300" t="s">
        <v>175</v>
      </c>
      <c r="L300">
        <v>0</v>
      </c>
      <c r="M300">
        <v>0</v>
      </c>
      <c r="N300">
        <v>0</v>
      </c>
      <c r="O300" s="1">
        <v>45583.542557870373</v>
      </c>
      <c r="P300" t="s">
        <v>119</v>
      </c>
    </row>
    <row r="301" spans="1:16" x14ac:dyDescent="0.3">
      <c r="A301" t="s">
        <v>25</v>
      </c>
      <c r="B301" s="1">
        <v>45583.542511574073</v>
      </c>
      <c r="C301" t="str">
        <f t="shared" si="64"/>
        <v>38</v>
      </c>
      <c r="D301" t="s">
        <v>115</v>
      </c>
      <c r="E301" t="s">
        <v>116</v>
      </c>
      <c r="F301" t="s">
        <v>117</v>
      </c>
      <c r="H301" t="s">
        <v>176</v>
      </c>
      <c r="L301">
        <v>0</v>
      </c>
      <c r="M301">
        <v>0</v>
      </c>
      <c r="N301">
        <v>0</v>
      </c>
      <c r="O301" s="1">
        <v>45583.542511574073</v>
      </c>
      <c r="P301" t="s">
        <v>132</v>
      </c>
    </row>
    <row r="302" spans="1:16" x14ac:dyDescent="0.3">
      <c r="A302" t="s">
        <v>25</v>
      </c>
      <c r="B302" s="1">
        <v>45583.54247685185</v>
      </c>
      <c r="C302" t="str">
        <f t="shared" si="64"/>
        <v>38</v>
      </c>
      <c r="D302" t="s">
        <v>115</v>
      </c>
      <c r="E302" t="s">
        <v>116</v>
      </c>
      <c r="F302" t="s">
        <v>117</v>
      </c>
      <c r="H302" t="s">
        <v>177</v>
      </c>
      <c r="L302">
        <v>0</v>
      </c>
      <c r="M302">
        <v>0</v>
      </c>
      <c r="N302">
        <v>0</v>
      </c>
      <c r="O302" s="1">
        <v>45583.54247685185</v>
      </c>
      <c r="P302" t="s">
        <v>132</v>
      </c>
    </row>
    <row r="303" spans="1:16" x14ac:dyDescent="0.3">
      <c r="A303" t="s">
        <v>25</v>
      </c>
      <c r="B303" s="1">
        <v>45583.542453703703</v>
      </c>
      <c r="C303" t="str">
        <f t="shared" si="64"/>
        <v>38</v>
      </c>
      <c r="D303" t="s">
        <v>115</v>
      </c>
      <c r="E303" t="s">
        <v>116</v>
      </c>
      <c r="F303" t="s">
        <v>117</v>
      </c>
      <c r="H303" t="s">
        <v>178</v>
      </c>
      <c r="L303">
        <v>0</v>
      </c>
      <c r="M303">
        <v>0</v>
      </c>
      <c r="N303">
        <v>0</v>
      </c>
      <c r="O303" s="1">
        <v>45583.542453703703</v>
      </c>
      <c r="P303" t="s">
        <v>132</v>
      </c>
    </row>
    <row r="304" spans="1:16" x14ac:dyDescent="0.3">
      <c r="A304" t="s">
        <v>25</v>
      </c>
      <c r="B304" s="1">
        <v>45583.542407407411</v>
      </c>
      <c r="C304" t="str">
        <f t="shared" si="64"/>
        <v>38</v>
      </c>
      <c r="D304" t="s">
        <v>115</v>
      </c>
      <c r="E304" t="s">
        <v>116</v>
      </c>
      <c r="F304" t="s">
        <v>117</v>
      </c>
      <c r="H304" t="s">
        <v>179</v>
      </c>
      <c r="L304">
        <v>0</v>
      </c>
      <c r="M304">
        <v>0</v>
      </c>
      <c r="N304">
        <v>0</v>
      </c>
      <c r="O304" s="1">
        <v>45583.542407407411</v>
      </c>
      <c r="P304" t="s">
        <v>132</v>
      </c>
    </row>
    <row r="305" spans="1:16" x14ac:dyDescent="0.3">
      <c r="A305" t="s">
        <v>25</v>
      </c>
      <c r="B305" s="1">
        <v>45583.542384259257</v>
      </c>
      <c r="C305" t="str">
        <f t="shared" si="64"/>
        <v>38</v>
      </c>
      <c r="D305" t="s">
        <v>115</v>
      </c>
      <c r="E305" t="s">
        <v>116</v>
      </c>
      <c r="F305" t="s">
        <v>117</v>
      </c>
      <c r="H305" t="s">
        <v>180</v>
      </c>
      <c r="L305">
        <v>0</v>
      </c>
      <c r="M305">
        <v>0</v>
      </c>
      <c r="N305">
        <v>0</v>
      </c>
      <c r="O305" s="1">
        <v>45583.542384259257</v>
      </c>
      <c r="P305" t="s">
        <v>132</v>
      </c>
    </row>
    <row r="306" spans="1:16" x14ac:dyDescent="0.3">
      <c r="A306" t="s">
        <v>25</v>
      </c>
      <c r="B306" s="1">
        <v>45583.542337962965</v>
      </c>
      <c r="C306" t="str">
        <f t="shared" si="64"/>
        <v>38</v>
      </c>
      <c r="D306" t="s">
        <v>115</v>
      </c>
      <c r="E306" t="s">
        <v>116</v>
      </c>
      <c r="F306" t="s">
        <v>117</v>
      </c>
      <c r="H306" t="s">
        <v>181</v>
      </c>
      <c r="L306">
        <v>0</v>
      </c>
      <c r="M306">
        <v>0</v>
      </c>
      <c r="N306">
        <v>0</v>
      </c>
      <c r="O306" s="1">
        <v>45583.542337962965</v>
      </c>
      <c r="P306" t="s">
        <v>132</v>
      </c>
    </row>
    <row r="307" spans="1:16" x14ac:dyDescent="0.3">
      <c r="A307" t="s">
        <v>25</v>
      </c>
      <c r="B307" s="1">
        <v>45583.542303240742</v>
      </c>
      <c r="C307" t="str">
        <f t="shared" si="64"/>
        <v>38</v>
      </c>
      <c r="D307" t="s">
        <v>115</v>
      </c>
      <c r="E307" t="s">
        <v>116</v>
      </c>
      <c r="F307" t="s">
        <v>117</v>
      </c>
      <c r="H307" t="s">
        <v>182</v>
      </c>
      <c r="L307">
        <v>0</v>
      </c>
      <c r="M307">
        <v>0</v>
      </c>
      <c r="N307">
        <v>0</v>
      </c>
      <c r="O307" s="1">
        <v>45583.542303240742</v>
      </c>
      <c r="P307" t="s">
        <v>132</v>
      </c>
    </row>
    <row r="308" spans="1:16" x14ac:dyDescent="0.3">
      <c r="A308" t="s">
        <v>25</v>
      </c>
      <c r="B308" s="1">
        <v>45583.542210648149</v>
      </c>
      <c r="C308" t="str">
        <f t="shared" si="64"/>
        <v>38</v>
      </c>
      <c r="D308" t="s">
        <v>115</v>
      </c>
      <c r="E308" t="s">
        <v>116</v>
      </c>
      <c r="F308" t="s">
        <v>117</v>
      </c>
      <c r="H308" t="s">
        <v>183</v>
      </c>
      <c r="L308">
        <v>0</v>
      </c>
      <c r="M308">
        <v>0</v>
      </c>
      <c r="N308">
        <v>0</v>
      </c>
      <c r="O308" s="1">
        <v>45583.542210648149</v>
      </c>
      <c r="P308" t="s">
        <v>132</v>
      </c>
    </row>
    <row r="309" spans="1:16" x14ac:dyDescent="0.3">
      <c r="A309" t="s">
        <v>25</v>
      </c>
      <c r="B309" s="1">
        <v>45583.542175925926</v>
      </c>
      <c r="C309" t="str">
        <f t="shared" si="64"/>
        <v>38</v>
      </c>
      <c r="D309" t="s">
        <v>115</v>
      </c>
      <c r="E309" t="s">
        <v>116</v>
      </c>
      <c r="F309" t="s">
        <v>117</v>
      </c>
      <c r="H309" t="s">
        <v>184</v>
      </c>
      <c r="L309">
        <v>0</v>
      </c>
      <c r="M309">
        <v>0</v>
      </c>
      <c r="N309">
        <v>0</v>
      </c>
      <c r="O309" s="1">
        <v>45583.542175925926</v>
      </c>
      <c r="P309" t="s">
        <v>138</v>
      </c>
    </row>
    <row r="310" spans="1:16" x14ac:dyDescent="0.3">
      <c r="A310" t="s">
        <v>25</v>
      </c>
      <c r="B310" s="1">
        <v>45583.542175925926</v>
      </c>
      <c r="C310" t="str">
        <f t="shared" ref="C310:C316" si="65">"41"</f>
        <v>41</v>
      </c>
      <c r="D310" t="s">
        <v>120</v>
      </c>
      <c r="E310" t="s">
        <v>116</v>
      </c>
      <c r="F310" t="s">
        <v>117</v>
      </c>
      <c r="H310" t="s">
        <v>184</v>
      </c>
      <c r="I310" t="str">
        <f>"101050002022389"</f>
        <v>101050002022389</v>
      </c>
      <c r="J310" t="str">
        <f t="shared" ref="J310:J316" si="66">"514913"</f>
        <v>514913</v>
      </c>
      <c r="K310" t="s">
        <v>93</v>
      </c>
      <c r="L310">
        <v>91</v>
      </c>
      <c r="M310">
        <v>91</v>
      </c>
      <c r="N310">
        <v>0</v>
      </c>
      <c r="O310" s="1">
        <v>45583.542175925926</v>
      </c>
      <c r="P310" t="s">
        <v>138</v>
      </c>
    </row>
    <row r="311" spans="1:16" x14ac:dyDescent="0.3">
      <c r="A311" t="s">
        <v>25</v>
      </c>
      <c r="B311" s="1">
        <v>45583.542164351849</v>
      </c>
      <c r="C311" t="str">
        <f t="shared" si="65"/>
        <v>41</v>
      </c>
      <c r="D311" t="s">
        <v>120</v>
      </c>
      <c r="E311" t="s">
        <v>116</v>
      </c>
      <c r="F311" t="s">
        <v>117</v>
      </c>
      <c r="H311" t="s">
        <v>184</v>
      </c>
      <c r="I311" t="str">
        <f>"101050002022316"</f>
        <v>101050002022316</v>
      </c>
      <c r="J311" t="str">
        <f t="shared" si="66"/>
        <v>514913</v>
      </c>
      <c r="K311" t="s">
        <v>93</v>
      </c>
      <c r="L311">
        <v>91</v>
      </c>
      <c r="M311">
        <v>91</v>
      </c>
      <c r="N311">
        <v>0</v>
      </c>
      <c r="O311" s="1">
        <v>45583.542164351849</v>
      </c>
      <c r="P311" t="s">
        <v>138</v>
      </c>
    </row>
    <row r="312" spans="1:16" x14ac:dyDescent="0.3">
      <c r="A312" t="s">
        <v>25</v>
      </c>
      <c r="B312" s="1">
        <v>45583.542164351849</v>
      </c>
      <c r="C312" t="str">
        <f t="shared" si="65"/>
        <v>41</v>
      </c>
      <c r="D312" t="s">
        <v>120</v>
      </c>
      <c r="E312" t="s">
        <v>116</v>
      </c>
      <c r="F312" t="s">
        <v>117</v>
      </c>
      <c r="H312" t="s">
        <v>184</v>
      </c>
      <c r="I312" t="str">
        <f>"101050002022577"</f>
        <v>101050002022577</v>
      </c>
      <c r="J312" t="str">
        <f t="shared" si="66"/>
        <v>514913</v>
      </c>
      <c r="K312" t="s">
        <v>93</v>
      </c>
      <c r="L312">
        <v>91</v>
      </c>
      <c r="M312">
        <v>91</v>
      </c>
      <c r="N312">
        <v>0</v>
      </c>
      <c r="O312" s="1">
        <v>45583.542164351849</v>
      </c>
      <c r="P312" t="s">
        <v>138</v>
      </c>
    </row>
    <row r="313" spans="1:16" x14ac:dyDescent="0.3">
      <c r="A313" t="s">
        <v>25</v>
      </c>
      <c r="B313" s="1">
        <v>45583.542164351849</v>
      </c>
      <c r="C313" t="str">
        <f t="shared" si="65"/>
        <v>41</v>
      </c>
      <c r="D313" t="s">
        <v>120</v>
      </c>
      <c r="E313" t="s">
        <v>116</v>
      </c>
      <c r="F313" t="s">
        <v>117</v>
      </c>
      <c r="H313" t="s">
        <v>184</v>
      </c>
      <c r="I313" t="str">
        <f>"101050002022790"</f>
        <v>101050002022790</v>
      </c>
      <c r="J313" t="str">
        <f t="shared" si="66"/>
        <v>514913</v>
      </c>
      <c r="K313" t="s">
        <v>93</v>
      </c>
      <c r="L313">
        <v>91</v>
      </c>
      <c r="M313">
        <v>91</v>
      </c>
      <c r="N313">
        <v>0</v>
      </c>
      <c r="O313" s="1">
        <v>45583.542164351849</v>
      </c>
      <c r="P313" t="s">
        <v>138</v>
      </c>
    </row>
    <row r="314" spans="1:16" x14ac:dyDescent="0.3">
      <c r="A314" t="s">
        <v>25</v>
      </c>
      <c r="B314" s="1">
        <v>45583.542164351849</v>
      </c>
      <c r="C314" t="str">
        <f t="shared" si="65"/>
        <v>41</v>
      </c>
      <c r="D314" t="s">
        <v>120</v>
      </c>
      <c r="E314" t="s">
        <v>116</v>
      </c>
      <c r="F314" t="s">
        <v>117</v>
      </c>
      <c r="H314" t="s">
        <v>184</v>
      </c>
      <c r="I314" t="str">
        <f>"101050002022757"</f>
        <v>101050002022757</v>
      </c>
      <c r="J314" t="str">
        <f t="shared" si="66"/>
        <v>514913</v>
      </c>
      <c r="K314" t="s">
        <v>93</v>
      </c>
      <c r="L314">
        <v>91</v>
      </c>
      <c r="M314">
        <v>91</v>
      </c>
      <c r="N314">
        <v>0</v>
      </c>
      <c r="O314" s="1">
        <v>45583.542164351849</v>
      </c>
      <c r="P314" t="s">
        <v>138</v>
      </c>
    </row>
    <row r="315" spans="1:16" x14ac:dyDescent="0.3">
      <c r="A315" t="s">
        <v>25</v>
      </c>
      <c r="B315" s="1">
        <v>45583.542164351849</v>
      </c>
      <c r="C315" t="str">
        <f t="shared" si="65"/>
        <v>41</v>
      </c>
      <c r="D315" t="s">
        <v>120</v>
      </c>
      <c r="E315" t="s">
        <v>116</v>
      </c>
      <c r="F315" t="s">
        <v>117</v>
      </c>
      <c r="H315" t="s">
        <v>184</v>
      </c>
      <c r="I315" t="str">
        <f>"101050002021765"</f>
        <v>101050002021765</v>
      </c>
      <c r="J315" t="str">
        <f t="shared" si="66"/>
        <v>514913</v>
      </c>
      <c r="K315" t="s">
        <v>93</v>
      </c>
      <c r="L315">
        <v>91</v>
      </c>
      <c r="M315">
        <v>91</v>
      </c>
      <c r="N315">
        <v>0</v>
      </c>
      <c r="O315" s="1">
        <v>45583.542164351849</v>
      </c>
      <c r="P315" t="s">
        <v>138</v>
      </c>
    </row>
    <row r="316" spans="1:16" x14ac:dyDescent="0.3">
      <c r="A316" t="s">
        <v>25</v>
      </c>
      <c r="B316" s="1">
        <v>45583.542164351849</v>
      </c>
      <c r="C316" t="str">
        <f t="shared" si="65"/>
        <v>41</v>
      </c>
      <c r="D316" t="s">
        <v>120</v>
      </c>
      <c r="E316" t="s">
        <v>116</v>
      </c>
      <c r="F316" t="s">
        <v>117</v>
      </c>
      <c r="H316" t="s">
        <v>184</v>
      </c>
      <c r="I316" t="str">
        <f>"101050002021880"</f>
        <v>101050002021880</v>
      </c>
      <c r="J316" t="str">
        <f t="shared" si="66"/>
        <v>514913</v>
      </c>
      <c r="K316" t="s">
        <v>93</v>
      </c>
      <c r="L316">
        <v>91</v>
      </c>
      <c r="M316">
        <v>91</v>
      </c>
      <c r="N316">
        <v>0</v>
      </c>
      <c r="O316" s="1">
        <v>45583.542164351849</v>
      </c>
      <c r="P316" t="s">
        <v>138</v>
      </c>
    </row>
    <row r="317" spans="1:16" x14ac:dyDescent="0.3">
      <c r="A317" t="s">
        <v>25</v>
      </c>
      <c r="B317" s="1">
        <v>45583.542060185187</v>
      </c>
      <c r="C317" t="str">
        <f t="shared" ref="C317:C325" si="67">"38"</f>
        <v>38</v>
      </c>
      <c r="D317" t="s">
        <v>115</v>
      </c>
      <c r="E317" t="s">
        <v>116</v>
      </c>
      <c r="F317" t="s">
        <v>117</v>
      </c>
      <c r="H317" t="s">
        <v>185</v>
      </c>
      <c r="L317">
        <v>0</v>
      </c>
      <c r="M317">
        <v>0</v>
      </c>
      <c r="N317">
        <v>0</v>
      </c>
      <c r="O317" s="1">
        <v>45583.542060185187</v>
      </c>
      <c r="P317" t="s">
        <v>132</v>
      </c>
    </row>
    <row r="318" spans="1:16" x14ac:dyDescent="0.3">
      <c r="A318" t="s">
        <v>25</v>
      </c>
      <c r="B318" s="1">
        <v>45583.542025462964</v>
      </c>
      <c r="C318" t="str">
        <f t="shared" si="67"/>
        <v>38</v>
      </c>
      <c r="D318" t="s">
        <v>115</v>
      </c>
      <c r="E318" t="s">
        <v>116</v>
      </c>
      <c r="F318" t="s">
        <v>117</v>
      </c>
      <c r="H318" t="s">
        <v>186</v>
      </c>
      <c r="L318">
        <v>0</v>
      </c>
      <c r="M318">
        <v>0</v>
      </c>
      <c r="N318">
        <v>0</v>
      </c>
      <c r="O318" s="1">
        <v>45583.542025462964</v>
      </c>
      <c r="P318" t="s">
        <v>132</v>
      </c>
    </row>
    <row r="319" spans="1:16" x14ac:dyDescent="0.3">
      <c r="A319" t="s">
        <v>25</v>
      </c>
      <c r="B319" s="1">
        <v>45583.542002314818</v>
      </c>
      <c r="C319" t="str">
        <f t="shared" si="67"/>
        <v>38</v>
      </c>
      <c r="D319" t="s">
        <v>115</v>
      </c>
      <c r="E319" t="s">
        <v>116</v>
      </c>
      <c r="F319" t="s">
        <v>117</v>
      </c>
      <c r="H319" t="s">
        <v>187</v>
      </c>
      <c r="L319">
        <v>0</v>
      </c>
      <c r="M319">
        <v>0</v>
      </c>
      <c r="N319">
        <v>0</v>
      </c>
      <c r="O319" s="1">
        <v>45583.542002314818</v>
      </c>
      <c r="P319" t="s">
        <v>132</v>
      </c>
    </row>
    <row r="320" spans="1:16" x14ac:dyDescent="0.3">
      <c r="A320" t="s">
        <v>25</v>
      </c>
      <c r="B320" s="1">
        <v>45583.541967592595</v>
      </c>
      <c r="C320" t="str">
        <f t="shared" si="67"/>
        <v>38</v>
      </c>
      <c r="D320" t="s">
        <v>115</v>
      </c>
      <c r="E320" t="s">
        <v>116</v>
      </c>
      <c r="F320" t="s">
        <v>117</v>
      </c>
      <c r="H320" t="s">
        <v>188</v>
      </c>
      <c r="L320">
        <v>0</v>
      </c>
      <c r="M320">
        <v>0</v>
      </c>
      <c r="N320">
        <v>0</v>
      </c>
      <c r="O320" s="1">
        <v>45583.541967592595</v>
      </c>
      <c r="P320" t="s">
        <v>132</v>
      </c>
    </row>
    <row r="321" spans="1:16" x14ac:dyDescent="0.3">
      <c r="A321" t="s">
        <v>25</v>
      </c>
      <c r="B321" s="1">
        <v>45583.541944444441</v>
      </c>
      <c r="C321" t="str">
        <f t="shared" si="67"/>
        <v>38</v>
      </c>
      <c r="D321" t="s">
        <v>115</v>
      </c>
      <c r="E321" t="s">
        <v>116</v>
      </c>
      <c r="F321" t="s">
        <v>117</v>
      </c>
      <c r="H321" t="s">
        <v>189</v>
      </c>
      <c r="L321">
        <v>0</v>
      </c>
      <c r="M321">
        <v>0</v>
      </c>
      <c r="N321">
        <v>0</v>
      </c>
      <c r="O321" s="1">
        <v>45583.541944444441</v>
      </c>
      <c r="P321" t="s">
        <v>132</v>
      </c>
    </row>
    <row r="322" spans="1:16" x14ac:dyDescent="0.3">
      <c r="A322" t="s">
        <v>25</v>
      </c>
      <c r="B322" s="1">
        <v>45583.541909722226</v>
      </c>
      <c r="C322" t="str">
        <f t="shared" si="67"/>
        <v>38</v>
      </c>
      <c r="D322" t="s">
        <v>115</v>
      </c>
      <c r="E322" t="s">
        <v>116</v>
      </c>
      <c r="F322" t="s">
        <v>117</v>
      </c>
      <c r="H322" t="s">
        <v>190</v>
      </c>
      <c r="L322">
        <v>0</v>
      </c>
      <c r="M322">
        <v>0</v>
      </c>
      <c r="N322">
        <v>0</v>
      </c>
      <c r="O322" s="1">
        <v>45583.541909722226</v>
      </c>
      <c r="P322" t="s">
        <v>132</v>
      </c>
    </row>
    <row r="323" spans="1:16" x14ac:dyDescent="0.3">
      <c r="A323" t="s">
        <v>25</v>
      </c>
      <c r="B323" s="1">
        <v>45583.541886574072</v>
      </c>
      <c r="C323" t="str">
        <f t="shared" si="67"/>
        <v>38</v>
      </c>
      <c r="D323" t="s">
        <v>115</v>
      </c>
      <c r="E323" t="s">
        <v>116</v>
      </c>
      <c r="F323" t="s">
        <v>117</v>
      </c>
      <c r="H323" t="s">
        <v>191</v>
      </c>
      <c r="L323">
        <v>0</v>
      </c>
      <c r="M323">
        <v>0</v>
      </c>
      <c r="N323">
        <v>0</v>
      </c>
      <c r="O323" s="1">
        <v>45583.541886574072</v>
      </c>
      <c r="P323" t="s">
        <v>132</v>
      </c>
    </row>
    <row r="324" spans="1:16" x14ac:dyDescent="0.3">
      <c r="A324" t="s">
        <v>25</v>
      </c>
      <c r="B324" s="1">
        <v>45583.541851851849</v>
      </c>
      <c r="C324" t="str">
        <f t="shared" si="67"/>
        <v>38</v>
      </c>
      <c r="D324" t="s">
        <v>115</v>
      </c>
      <c r="E324" t="s">
        <v>116</v>
      </c>
      <c r="F324" t="s">
        <v>117</v>
      </c>
      <c r="H324" t="s">
        <v>192</v>
      </c>
      <c r="L324">
        <v>0</v>
      </c>
      <c r="M324">
        <v>0</v>
      </c>
      <c r="N324">
        <v>0</v>
      </c>
      <c r="O324" s="1">
        <v>45583.541851851849</v>
      </c>
      <c r="P324" t="s">
        <v>132</v>
      </c>
    </row>
    <row r="325" spans="1:16" x14ac:dyDescent="0.3">
      <c r="A325" t="s">
        <v>25</v>
      </c>
      <c r="B325" s="1">
        <v>45583.541527777779</v>
      </c>
      <c r="C325" t="str">
        <f t="shared" si="67"/>
        <v>38</v>
      </c>
      <c r="D325" t="s">
        <v>115</v>
      </c>
      <c r="E325" t="s">
        <v>116</v>
      </c>
      <c r="F325" t="s">
        <v>117</v>
      </c>
      <c r="H325" t="s">
        <v>193</v>
      </c>
      <c r="L325">
        <v>0</v>
      </c>
      <c r="M325">
        <v>0</v>
      </c>
      <c r="N325">
        <v>0</v>
      </c>
      <c r="O325" s="1">
        <v>45583.541527777779</v>
      </c>
      <c r="P325" t="s">
        <v>138</v>
      </c>
    </row>
    <row r="326" spans="1:16" x14ac:dyDescent="0.3">
      <c r="A326" t="s">
        <v>25</v>
      </c>
      <c r="B326" s="1">
        <v>45583.541527777779</v>
      </c>
      <c r="C326" t="str">
        <f>"41"</f>
        <v>41</v>
      </c>
      <c r="D326" t="s">
        <v>120</v>
      </c>
      <c r="E326" t="s">
        <v>116</v>
      </c>
      <c r="F326" t="s">
        <v>117</v>
      </c>
      <c r="H326" t="s">
        <v>193</v>
      </c>
      <c r="I326" t="str">
        <f>"101050002021323"</f>
        <v>101050002021323</v>
      </c>
      <c r="J326" t="str">
        <f>"127802"</f>
        <v>127802</v>
      </c>
      <c r="K326" t="s">
        <v>6</v>
      </c>
      <c r="L326">
        <v>91</v>
      </c>
      <c r="M326">
        <v>91</v>
      </c>
      <c r="N326">
        <v>0</v>
      </c>
      <c r="O326" s="1">
        <v>45583.541527777779</v>
      </c>
      <c r="P326" t="s">
        <v>138</v>
      </c>
    </row>
    <row r="327" spans="1:16" x14ac:dyDescent="0.3">
      <c r="A327" t="s">
        <v>25</v>
      </c>
      <c r="B327" s="1">
        <v>45583.541493055556</v>
      </c>
      <c r="C327" t="str">
        <f>"38"</f>
        <v>38</v>
      </c>
      <c r="D327" t="s">
        <v>115</v>
      </c>
      <c r="E327" t="s">
        <v>116</v>
      </c>
      <c r="F327" t="s">
        <v>117</v>
      </c>
      <c r="H327" t="s">
        <v>194</v>
      </c>
      <c r="L327">
        <v>0</v>
      </c>
      <c r="M327">
        <v>0</v>
      </c>
      <c r="N327">
        <v>0</v>
      </c>
      <c r="O327" s="1">
        <v>45583.541493055556</v>
      </c>
      <c r="P327" t="s">
        <v>132</v>
      </c>
    </row>
    <row r="328" spans="1:16" x14ac:dyDescent="0.3">
      <c r="A328" t="s">
        <v>25</v>
      </c>
      <c r="B328" s="1">
        <v>45583.541493055556</v>
      </c>
      <c r="C328" t="str">
        <f>"41"</f>
        <v>41</v>
      </c>
      <c r="D328" t="s">
        <v>120</v>
      </c>
      <c r="E328" t="s">
        <v>116</v>
      </c>
      <c r="F328" t="s">
        <v>117</v>
      </c>
      <c r="H328" t="s">
        <v>194</v>
      </c>
      <c r="I328" t="str">
        <f>"101620000471999"</f>
        <v>101620000471999</v>
      </c>
      <c r="J328" t="str">
        <f>"127802"</f>
        <v>127802</v>
      </c>
      <c r="K328" t="s">
        <v>6</v>
      </c>
      <c r="L328">
        <v>91</v>
      </c>
      <c r="M328">
        <v>91</v>
      </c>
      <c r="N328">
        <v>0</v>
      </c>
      <c r="O328" s="1">
        <v>45583.541493055556</v>
      </c>
      <c r="P328" t="s">
        <v>132</v>
      </c>
    </row>
    <row r="329" spans="1:16" x14ac:dyDescent="0.3">
      <c r="A329" t="s">
        <v>25</v>
      </c>
      <c r="B329" s="1">
        <v>45583.541481481479</v>
      </c>
      <c r="C329" t="str">
        <f>"41"</f>
        <v>41</v>
      </c>
      <c r="D329" t="s">
        <v>120</v>
      </c>
      <c r="E329" t="s">
        <v>116</v>
      </c>
      <c r="F329" t="s">
        <v>117</v>
      </c>
      <c r="H329" t="s">
        <v>194</v>
      </c>
      <c r="I329" t="str">
        <f>"101620000471675"</f>
        <v>101620000471675</v>
      </c>
      <c r="J329" t="str">
        <f>"127802"</f>
        <v>127802</v>
      </c>
      <c r="K329" t="s">
        <v>6</v>
      </c>
      <c r="L329">
        <v>91</v>
      </c>
      <c r="M329">
        <v>91</v>
      </c>
      <c r="N329">
        <v>0</v>
      </c>
      <c r="O329" s="1">
        <v>45583.541481481479</v>
      </c>
      <c r="P329" t="s">
        <v>132</v>
      </c>
    </row>
    <row r="330" spans="1:16" x14ac:dyDescent="0.3">
      <c r="A330" t="s">
        <v>25</v>
      </c>
      <c r="B330" s="1">
        <v>45583.541481481479</v>
      </c>
      <c r="C330" t="str">
        <f>"41"</f>
        <v>41</v>
      </c>
      <c r="D330" t="s">
        <v>120</v>
      </c>
      <c r="E330" t="s">
        <v>116</v>
      </c>
      <c r="F330" t="s">
        <v>117</v>
      </c>
      <c r="H330" t="s">
        <v>194</v>
      </c>
      <c r="I330" t="str">
        <f>"101620000471656"</f>
        <v>101620000471656</v>
      </c>
      <c r="J330" t="str">
        <f>"127802"</f>
        <v>127802</v>
      </c>
      <c r="K330" t="s">
        <v>6</v>
      </c>
      <c r="L330">
        <v>91</v>
      </c>
      <c r="M330">
        <v>91</v>
      </c>
      <c r="N330">
        <v>0</v>
      </c>
      <c r="O330" s="1">
        <v>45583.541481481479</v>
      </c>
      <c r="P330" t="s">
        <v>132</v>
      </c>
    </row>
    <row r="331" spans="1:16" x14ac:dyDescent="0.3">
      <c r="A331" t="s">
        <v>25</v>
      </c>
      <c r="B331" s="1">
        <v>45583.541481481479</v>
      </c>
      <c r="C331" t="str">
        <f>"41"</f>
        <v>41</v>
      </c>
      <c r="D331" t="s">
        <v>120</v>
      </c>
      <c r="E331" t="s">
        <v>116</v>
      </c>
      <c r="F331" t="s">
        <v>117</v>
      </c>
      <c r="H331" t="s">
        <v>194</v>
      </c>
      <c r="I331" t="str">
        <f>"101620000471659"</f>
        <v>101620000471659</v>
      </c>
      <c r="J331" t="str">
        <f>"127802"</f>
        <v>127802</v>
      </c>
      <c r="K331" t="s">
        <v>6</v>
      </c>
      <c r="L331">
        <v>91</v>
      </c>
      <c r="M331">
        <v>91</v>
      </c>
      <c r="N331">
        <v>0</v>
      </c>
      <c r="O331" s="1">
        <v>45583.541481481479</v>
      </c>
      <c r="P331" t="s">
        <v>132</v>
      </c>
    </row>
    <row r="332" spans="1:16" x14ac:dyDescent="0.3">
      <c r="A332" t="s">
        <v>25</v>
      </c>
      <c r="B332" s="1">
        <v>45583.541481481479</v>
      </c>
      <c r="C332" t="str">
        <f>"41"</f>
        <v>41</v>
      </c>
      <c r="D332" t="s">
        <v>120</v>
      </c>
      <c r="E332" t="s">
        <v>116</v>
      </c>
      <c r="F332" t="s">
        <v>117</v>
      </c>
      <c r="H332" t="s">
        <v>194</v>
      </c>
      <c r="I332" t="str">
        <f>"101620000471997"</f>
        <v>101620000471997</v>
      </c>
      <c r="J332" t="str">
        <f>"127802"</f>
        <v>127802</v>
      </c>
      <c r="K332" t="s">
        <v>6</v>
      </c>
      <c r="L332">
        <v>91</v>
      </c>
      <c r="M332">
        <v>91</v>
      </c>
      <c r="N332">
        <v>0</v>
      </c>
      <c r="O332" s="1">
        <v>45583.541481481479</v>
      </c>
      <c r="P332" t="s">
        <v>132</v>
      </c>
    </row>
    <row r="333" spans="1:16" x14ac:dyDescent="0.3">
      <c r="A333" t="s">
        <v>25</v>
      </c>
      <c r="B333" s="1">
        <v>45583.541481481479</v>
      </c>
      <c r="C333" t="str">
        <f>"38"</f>
        <v>38</v>
      </c>
      <c r="D333" t="s">
        <v>115</v>
      </c>
      <c r="E333" t="s">
        <v>116</v>
      </c>
      <c r="F333" t="s">
        <v>117</v>
      </c>
      <c r="H333" t="s">
        <v>195</v>
      </c>
      <c r="L333">
        <v>0</v>
      </c>
      <c r="M333">
        <v>0</v>
      </c>
      <c r="N333">
        <v>0</v>
      </c>
      <c r="O333" s="1">
        <v>45583.541481481479</v>
      </c>
      <c r="P333" t="s">
        <v>119</v>
      </c>
    </row>
    <row r="334" spans="1:16" x14ac:dyDescent="0.3">
      <c r="A334" t="s">
        <v>25</v>
      </c>
      <c r="B334" s="1">
        <v>45583.541481481479</v>
      </c>
      <c r="C334" t="str">
        <f t="shared" ref="C334:C340" si="68">"41"</f>
        <v>41</v>
      </c>
      <c r="D334" t="s">
        <v>120</v>
      </c>
      <c r="E334" t="s">
        <v>116</v>
      </c>
      <c r="F334" t="s">
        <v>117</v>
      </c>
      <c r="H334" t="s">
        <v>195</v>
      </c>
      <c r="I334" t="str">
        <f>"101050001988156"</f>
        <v>101050001988156</v>
      </c>
      <c r="J334" t="str">
        <f t="shared" ref="J334:J340" si="69">"128376"</f>
        <v>128376</v>
      </c>
      <c r="K334" t="s">
        <v>67</v>
      </c>
      <c r="L334">
        <v>49</v>
      </c>
      <c r="M334">
        <v>49</v>
      </c>
      <c r="N334">
        <v>0</v>
      </c>
      <c r="O334" s="1">
        <v>45583.541481481479</v>
      </c>
      <c r="P334" t="s">
        <v>119</v>
      </c>
    </row>
    <row r="335" spans="1:16" x14ac:dyDescent="0.3">
      <c r="A335" t="s">
        <v>25</v>
      </c>
      <c r="B335" s="1">
        <v>45583.54146990741</v>
      </c>
      <c r="C335" t="str">
        <f t="shared" si="68"/>
        <v>41</v>
      </c>
      <c r="D335" t="s">
        <v>120</v>
      </c>
      <c r="E335" t="s">
        <v>116</v>
      </c>
      <c r="F335" t="s">
        <v>117</v>
      </c>
      <c r="H335" t="s">
        <v>195</v>
      </c>
      <c r="I335" t="str">
        <f>"101050001988150"</f>
        <v>101050001988150</v>
      </c>
      <c r="J335" t="str">
        <f t="shared" si="69"/>
        <v>128376</v>
      </c>
      <c r="K335" t="s">
        <v>67</v>
      </c>
      <c r="L335">
        <v>49</v>
      </c>
      <c r="M335">
        <v>49</v>
      </c>
      <c r="N335">
        <v>0</v>
      </c>
      <c r="O335" s="1">
        <v>45583.54146990741</v>
      </c>
      <c r="P335" t="s">
        <v>119</v>
      </c>
    </row>
    <row r="336" spans="1:16" x14ac:dyDescent="0.3">
      <c r="A336" t="s">
        <v>25</v>
      </c>
      <c r="B336" s="1">
        <v>45583.54146990741</v>
      </c>
      <c r="C336" t="str">
        <f t="shared" si="68"/>
        <v>41</v>
      </c>
      <c r="D336" t="s">
        <v>120</v>
      </c>
      <c r="E336" t="s">
        <v>116</v>
      </c>
      <c r="F336" t="s">
        <v>117</v>
      </c>
      <c r="H336" t="s">
        <v>195</v>
      </c>
      <c r="I336" t="str">
        <f>"101050001988152"</f>
        <v>101050001988152</v>
      </c>
      <c r="J336" t="str">
        <f t="shared" si="69"/>
        <v>128376</v>
      </c>
      <c r="K336" t="s">
        <v>67</v>
      </c>
      <c r="L336">
        <v>49</v>
      </c>
      <c r="M336">
        <v>49</v>
      </c>
      <c r="N336">
        <v>0</v>
      </c>
      <c r="O336" s="1">
        <v>45583.54146990741</v>
      </c>
      <c r="P336" t="s">
        <v>119</v>
      </c>
    </row>
    <row r="337" spans="1:16" x14ac:dyDescent="0.3">
      <c r="A337" t="s">
        <v>25</v>
      </c>
      <c r="B337" s="1">
        <v>45583.54146990741</v>
      </c>
      <c r="C337" t="str">
        <f t="shared" si="68"/>
        <v>41</v>
      </c>
      <c r="D337" t="s">
        <v>120</v>
      </c>
      <c r="E337" t="s">
        <v>116</v>
      </c>
      <c r="F337" t="s">
        <v>117</v>
      </c>
      <c r="H337" t="s">
        <v>195</v>
      </c>
      <c r="I337" t="str">
        <f>"101050001987147"</f>
        <v>101050001987147</v>
      </c>
      <c r="J337" t="str">
        <f t="shared" si="69"/>
        <v>128376</v>
      </c>
      <c r="K337" t="s">
        <v>67</v>
      </c>
      <c r="L337">
        <v>49</v>
      </c>
      <c r="M337">
        <v>49</v>
      </c>
      <c r="N337">
        <v>0</v>
      </c>
      <c r="O337" s="1">
        <v>45583.54146990741</v>
      </c>
      <c r="P337" t="s">
        <v>119</v>
      </c>
    </row>
    <row r="338" spans="1:16" x14ac:dyDescent="0.3">
      <c r="A338" t="s">
        <v>25</v>
      </c>
      <c r="B338" s="1">
        <v>45583.54146990741</v>
      </c>
      <c r="C338" t="str">
        <f t="shared" si="68"/>
        <v>41</v>
      </c>
      <c r="D338" t="s">
        <v>120</v>
      </c>
      <c r="E338" t="s">
        <v>116</v>
      </c>
      <c r="F338" t="s">
        <v>117</v>
      </c>
      <c r="H338" t="s">
        <v>195</v>
      </c>
      <c r="I338" t="str">
        <f>"101050001988162"</f>
        <v>101050001988162</v>
      </c>
      <c r="J338" t="str">
        <f t="shared" si="69"/>
        <v>128376</v>
      </c>
      <c r="K338" t="s">
        <v>67</v>
      </c>
      <c r="L338">
        <v>49</v>
      </c>
      <c r="M338">
        <v>49</v>
      </c>
      <c r="N338">
        <v>0</v>
      </c>
      <c r="O338" s="1">
        <v>45583.54146990741</v>
      </c>
      <c r="P338" t="s">
        <v>119</v>
      </c>
    </row>
    <row r="339" spans="1:16" x14ac:dyDescent="0.3">
      <c r="A339" t="s">
        <v>25</v>
      </c>
      <c r="B339" s="1">
        <v>45583.54146990741</v>
      </c>
      <c r="C339" t="str">
        <f t="shared" si="68"/>
        <v>41</v>
      </c>
      <c r="D339" t="s">
        <v>120</v>
      </c>
      <c r="E339" t="s">
        <v>116</v>
      </c>
      <c r="F339" t="s">
        <v>117</v>
      </c>
      <c r="H339" t="s">
        <v>195</v>
      </c>
      <c r="I339" t="str">
        <f>"101050001987018"</f>
        <v>101050001987018</v>
      </c>
      <c r="J339" t="str">
        <f t="shared" si="69"/>
        <v>128376</v>
      </c>
      <c r="K339" t="s">
        <v>67</v>
      </c>
      <c r="L339">
        <v>49</v>
      </c>
      <c r="M339">
        <v>49</v>
      </c>
      <c r="N339">
        <v>0</v>
      </c>
      <c r="O339" s="1">
        <v>45583.54146990741</v>
      </c>
      <c r="P339" t="s">
        <v>119</v>
      </c>
    </row>
    <row r="340" spans="1:16" x14ac:dyDescent="0.3">
      <c r="A340" t="s">
        <v>25</v>
      </c>
      <c r="B340" s="1">
        <v>45583.54146990741</v>
      </c>
      <c r="C340" t="str">
        <f t="shared" si="68"/>
        <v>41</v>
      </c>
      <c r="D340" t="s">
        <v>120</v>
      </c>
      <c r="E340" t="s">
        <v>116</v>
      </c>
      <c r="F340" t="s">
        <v>117</v>
      </c>
      <c r="H340" t="s">
        <v>195</v>
      </c>
      <c r="I340" t="str">
        <f>"101050001986928"</f>
        <v>101050001986928</v>
      </c>
      <c r="J340" t="str">
        <f t="shared" si="69"/>
        <v>128376</v>
      </c>
      <c r="K340" t="s">
        <v>67</v>
      </c>
      <c r="L340">
        <v>49</v>
      </c>
      <c r="M340">
        <v>49</v>
      </c>
      <c r="N340">
        <v>0</v>
      </c>
      <c r="O340" s="1">
        <v>45583.54146990741</v>
      </c>
      <c r="P340" t="s">
        <v>119</v>
      </c>
    </row>
    <row r="341" spans="1:16" x14ac:dyDescent="0.3">
      <c r="A341" t="s">
        <v>25</v>
      </c>
      <c r="B341" s="1">
        <v>45583.541273148148</v>
      </c>
      <c r="C341" t="str">
        <f>"38"</f>
        <v>38</v>
      </c>
      <c r="D341" t="s">
        <v>115</v>
      </c>
      <c r="E341" t="s">
        <v>116</v>
      </c>
      <c r="F341" t="s">
        <v>117</v>
      </c>
      <c r="H341" t="s">
        <v>196</v>
      </c>
      <c r="L341">
        <v>0</v>
      </c>
      <c r="M341">
        <v>0</v>
      </c>
      <c r="N341">
        <v>0</v>
      </c>
      <c r="O341" s="1">
        <v>45583.541273148148</v>
      </c>
      <c r="P341" t="s">
        <v>132</v>
      </c>
    </row>
    <row r="342" spans="1:16" x14ac:dyDescent="0.3">
      <c r="A342" t="s">
        <v>25</v>
      </c>
      <c r="B342" s="1">
        <v>45583.541273148148</v>
      </c>
      <c r="C342" t="str">
        <f t="shared" ref="C342:C348" si="70">"41"</f>
        <v>41</v>
      </c>
      <c r="D342" t="s">
        <v>120</v>
      </c>
      <c r="E342" t="s">
        <v>116</v>
      </c>
      <c r="F342" t="s">
        <v>117</v>
      </c>
      <c r="H342" t="s">
        <v>196</v>
      </c>
      <c r="I342" t="str">
        <f>"101050002026671"</f>
        <v>101050002026671</v>
      </c>
      <c r="J342" t="str">
        <f t="shared" ref="J342:J348" si="71">"127571"</f>
        <v>127571</v>
      </c>
      <c r="K342" t="s">
        <v>5</v>
      </c>
      <c r="L342">
        <v>91</v>
      </c>
      <c r="M342">
        <v>91</v>
      </c>
      <c r="N342">
        <v>0</v>
      </c>
      <c r="O342" s="1">
        <v>45583.541273148148</v>
      </c>
      <c r="P342" t="s">
        <v>132</v>
      </c>
    </row>
    <row r="343" spans="1:16" x14ac:dyDescent="0.3">
      <c r="A343" t="s">
        <v>25</v>
      </c>
      <c r="B343" s="1">
        <v>45583.541261574072</v>
      </c>
      <c r="C343" t="str">
        <f t="shared" si="70"/>
        <v>41</v>
      </c>
      <c r="D343" t="s">
        <v>120</v>
      </c>
      <c r="E343" t="s">
        <v>116</v>
      </c>
      <c r="F343" t="s">
        <v>117</v>
      </c>
      <c r="H343" t="s">
        <v>196</v>
      </c>
      <c r="I343" t="str">
        <f>"101050002028016"</f>
        <v>101050002028016</v>
      </c>
      <c r="J343" t="str">
        <f t="shared" si="71"/>
        <v>127571</v>
      </c>
      <c r="K343" t="s">
        <v>5</v>
      </c>
      <c r="L343">
        <v>91</v>
      </c>
      <c r="M343">
        <v>91</v>
      </c>
      <c r="N343">
        <v>0</v>
      </c>
      <c r="O343" s="1">
        <v>45583.541261574072</v>
      </c>
      <c r="P343" t="s">
        <v>132</v>
      </c>
    </row>
    <row r="344" spans="1:16" x14ac:dyDescent="0.3">
      <c r="A344" t="s">
        <v>25</v>
      </c>
      <c r="B344" s="1">
        <v>45583.541261574072</v>
      </c>
      <c r="C344" t="str">
        <f t="shared" si="70"/>
        <v>41</v>
      </c>
      <c r="D344" t="s">
        <v>120</v>
      </c>
      <c r="E344" t="s">
        <v>116</v>
      </c>
      <c r="F344" t="s">
        <v>117</v>
      </c>
      <c r="H344" t="s">
        <v>196</v>
      </c>
      <c r="I344" t="str">
        <f>"101050002026231"</f>
        <v>101050002026231</v>
      </c>
      <c r="J344" t="str">
        <f t="shared" si="71"/>
        <v>127571</v>
      </c>
      <c r="K344" t="s">
        <v>5</v>
      </c>
      <c r="L344">
        <v>91</v>
      </c>
      <c r="M344">
        <v>91</v>
      </c>
      <c r="N344">
        <v>0</v>
      </c>
      <c r="O344" s="1">
        <v>45583.541261574072</v>
      </c>
      <c r="P344" t="s">
        <v>132</v>
      </c>
    </row>
    <row r="345" spans="1:16" x14ac:dyDescent="0.3">
      <c r="A345" t="s">
        <v>25</v>
      </c>
      <c r="B345" s="1">
        <v>45583.541261574072</v>
      </c>
      <c r="C345" t="str">
        <f t="shared" si="70"/>
        <v>41</v>
      </c>
      <c r="D345" t="s">
        <v>120</v>
      </c>
      <c r="E345" t="s">
        <v>116</v>
      </c>
      <c r="F345" t="s">
        <v>117</v>
      </c>
      <c r="H345" t="s">
        <v>196</v>
      </c>
      <c r="I345" t="str">
        <f>"101050002024775"</f>
        <v>101050002024775</v>
      </c>
      <c r="J345" t="str">
        <f t="shared" si="71"/>
        <v>127571</v>
      </c>
      <c r="K345" t="s">
        <v>5</v>
      </c>
      <c r="L345">
        <v>91</v>
      </c>
      <c r="M345">
        <v>91</v>
      </c>
      <c r="N345">
        <v>0</v>
      </c>
      <c r="O345" s="1">
        <v>45583.541261574072</v>
      </c>
      <c r="P345" t="s">
        <v>132</v>
      </c>
    </row>
    <row r="346" spans="1:16" x14ac:dyDescent="0.3">
      <c r="A346" t="s">
        <v>25</v>
      </c>
      <c r="B346" s="1">
        <v>45583.541261574072</v>
      </c>
      <c r="C346" t="str">
        <f t="shared" si="70"/>
        <v>41</v>
      </c>
      <c r="D346" t="s">
        <v>120</v>
      </c>
      <c r="E346" t="s">
        <v>116</v>
      </c>
      <c r="F346" t="s">
        <v>117</v>
      </c>
      <c r="H346" t="s">
        <v>196</v>
      </c>
      <c r="I346" t="str">
        <f>"101050002025243"</f>
        <v>101050002025243</v>
      </c>
      <c r="J346" t="str">
        <f t="shared" si="71"/>
        <v>127571</v>
      </c>
      <c r="K346" t="s">
        <v>5</v>
      </c>
      <c r="L346">
        <v>91</v>
      </c>
      <c r="M346">
        <v>91</v>
      </c>
      <c r="N346">
        <v>0</v>
      </c>
      <c r="O346" s="1">
        <v>45583.541261574072</v>
      </c>
      <c r="P346" t="s">
        <v>132</v>
      </c>
    </row>
    <row r="347" spans="1:16" x14ac:dyDescent="0.3">
      <c r="A347" t="s">
        <v>25</v>
      </c>
      <c r="B347" s="1">
        <v>45583.541250000002</v>
      </c>
      <c r="C347" t="str">
        <f t="shared" si="70"/>
        <v>41</v>
      </c>
      <c r="D347" t="s">
        <v>120</v>
      </c>
      <c r="E347" t="s">
        <v>116</v>
      </c>
      <c r="F347" t="s">
        <v>117</v>
      </c>
      <c r="H347" t="s">
        <v>196</v>
      </c>
      <c r="I347" t="str">
        <f>"101050002025174"</f>
        <v>101050002025174</v>
      </c>
      <c r="J347" t="str">
        <f t="shared" si="71"/>
        <v>127571</v>
      </c>
      <c r="K347" t="s">
        <v>5</v>
      </c>
      <c r="L347">
        <v>91</v>
      </c>
      <c r="M347">
        <v>91</v>
      </c>
      <c r="N347">
        <v>0</v>
      </c>
      <c r="O347" s="1">
        <v>45583.541250000002</v>
      </c>
      <c r="P347" t="s">
        <v>132</v>
      </c>
    </row>
    <row r="348" spans="1:16" x14ac:dyDescent="0.3">
      <c r="A348" t="s">
        <v>25</v>
      </c>
      <c r="B348" s="1">
        <v>45583.541250000002</v>
      </c>
      <c r="C348" t="str">
        <f t="shared" si="70"/>
        <v>41</v>
      </c>
      <c r="D348" t="s">
        <v>120</v>
      </c>
      <c r="E348" t="s">
        <v>116</v>
      </c>
      <c r="F348" t="s">
        <v>117</v>
      </c>
      <c r="H348" t="s">
        <v>196</v>
      </c>
      <c r="I348" t="str">
        <f>"101050002023287"</f>
        <v>101050002023287</v>
      </c>
      <c r="J348" t="str">
        <f t="shared" si="71"/>
        <v>127571</v>
      </c>
      <c r="K348" t="s">
        <v>5</v>
      </c>
      <c r="L348">
        <v>91</v>
      </c>
      <c r="M348">
        <v>91</v>
      </c>
      <c r="N348">
        <v>0</v>
      </c>
      <c r="O348" s="1">
        <v>45583.541250000002</v>
      </c>
      <c r="P348" t="s">
        <v>132</v>
      </c>
    </row>
    <row r="349" spans="1:16" x14ac:dyDescent="0.3">
      <c r="A349" t="s">
        <v>25</v>
      </c>
      <c r="B349" s="1">
        <v>45583.541284722225</v>
      </c>
      <c r="C349" t="str">
        <f>"38"</f>
        <v>38</v>
      </c>
      <c r="D349" t="s">
        <v>115</v>
      </c>
      <c r="E349" t="s">
        <v>116</v>
      </c>
      <c r="F349" t="s">
        <v>117</v>
      </c>
      <c r="H349" t="s">
        <v>197</v>
      </c>
      <c r="L349">
        <v>0</v>
      </c>
      <c r="M349">
        <v>0</v>
      </c>
      <c r="N349">
        <v>0</v>
      </c>
      <c r="O349" s="1">
        <v>45583.541284722225</v>
      </c>
      <c r="P349" t="s">
        <v>122</v>
      </c>
    </row>
    <row r="350" spans="1:16" x14ac:dyDescent="0.3">
      <c r="A350" t="s">
        <v>25</v>
      </c>
      <c r="B350" s="1">
        <v>45583.541284722225</v>
      </c>
      <c r="C350" t="str">
        <f t="shared" ref="C350:C356" si="72">"41"</f>
        <v>41</v>
      </c>
      <c r="D350" t="s">
        <v>120</v>
      </c>
      <c r="E350" t="s">
        <v>116</v>
      </c>
      <c r="F350" t="s">
        <v>117</v>
      </c>
      <c r="H350" t="s">
        <v>197</v>
      </c>
      <c r="I350" t="str">
        <f>"101050002023101"</f>
        <v>101050002023101</v>
      </c>
      <c r="J350" t="str">
        <f t="shared" ref="J350:J356" si="73">"514913"</f>
        <v>514913</v>
      </c>
      <c r="K350" t="s">
        <v>93</v>
      </c>
      <c r="L350">
        <v>91</v>
      </c>
      <c r="M350">
        <v>91</v>
      </c>
      <c r="N350">
        <v>0</v>
      </c>
      <c r="O350" s="1">
        <v>45583.541284722225</v>
      </c>
      <c r="P350" t="s">
        <v>122</v>
      </c>
    </row>
    <row r="351" spans="1:16" x14ac:dyDescent="0.3">
      <c r="A351" t="s">
        <v>25</v>
      </c>
      <c r="B351" s="1">
        <v>45583.541273148148</v>
      </c>
      <c r="C351" t="str">
        <f t="shared" si="72"/>
        <v>41</v>
      </c>
      <c r="D351" t="s">
        <v>120</v>
      </c>
      <c r="E351" t="s">
        <v>116</v>
      </c>
      <c r="F351" t="s">
        <v>117</v>
      </c>
      <c r="H351" t="s">
        <v>197</v>
      </c>
      <c r="I351" t="str">
        <f>"101050002023080"</f>
        <v>101050002023080</v>
      </c>
      <c r="J351" t="str">
        <f t="shared" si="73"/>
        <v>514913</v>
      </c>
      <c r="K351" t="s">
        <v>93</v>
      </c>
      <c r="L351">
        <v>91</v>
      </c>
      <c r="M351">
        <v>91</v>
      </c>
      <c r="N351">
        <v>0</v>
      </c>
      <c r="O351" s="1">
        <v>45583.541273148148</v>
      </c>
      <c r="P351" t="s">
        <v>122</v>
      </c>
    </row>
    <row r="352" spans="1:16" x14ac:dyDescent="0.3">
      <c r="A352" t="s">
        <v>25</v>
      </c>
      <c r="B352" s="1">
        <v>45583.541273148148</v>
      </c>
      <c r="C352" t="str">
        <f t="shared" si="72"/>
        <v>41</v>
      </c>
      <c r="D352" t="s">
        <v>120</v>
      </c>
      <c r="E352" t="s">
        <v>116</v>
      </c>
      <c r="F352" t="s">
        <v>117</v>
      </c>
      <c r="H352" t="s">
        <v>197</v>
      </c>
      <c r="I352" t="str">
        <f>"101050002023079"</f>
        <v>101050002023079</v>
      </c>
      <c r="J352" t="str">
        <f t="shared" si="73"/>
        <v>514913</v>
      </c>
      <c r="K352" t="s">
        <v>93</v>
      </c>
      <c r="L352">
        <v>91</v>
      </c>
      <c r="M352">
        <v>91</v>
      </c>
      <c r="N352">
        <v>0</v>
      </c>
      <c r="O352" s="1">
        <v>45583.541273148148</v>
      </c>
      <c r="P352" t="s">
        <v>122</v>
      </c>
    </row>
    <row r="353" spans="1:16" x14ac:dyDescent="0.3">
      <c r="A353" t="s">
        <v>25</v>
      </c>
      <c r="B353" s="1">
        <v>45583.541273148148</v>
      </c>
      <c r="C353" t="str">
        <f t="shared" si="72"/>
        <v>41</v>
      </c>
      <c r="D353" t="s">
        <v>120</v>
      </c>
      <c r="E353" t="s">
        <v>116</v>
      </c>
      <c r="F353" t="s">
        <v>117</v>
      </c>
      <c r="H353" t="s">
        <v>197</v>
      </c>
      <c r="I353" t="str">
        <f>"101050002022926"</f>
        <v>101050002022926</v>
      </c>
      <c r="J353" t="str">
        <f t="shared" si="73"/>
        <v>514913</v>
      </c>
      <c r="K353" t="s">
        <v>93</v>
      </c>
      <c r="L353">
        <v>91</v>
      </c>
      <c r="M353">
        <v>91</v>
      </c>
      <c r="N353">
        <v>0</v>
      </c>
      <c r="O353" s="1">
        <v>45583.541273148148</v>
      </c>
      <c r="P353" t="s">
        <v>122</v>
      </c>
    </row>
    <row r="354" spans="1:16" x14ac:dyDescent="0.3">
      <c r="A354" t="s">
        <v>25</v>
      </c>
      <c r="B354" s="1">
        <v>45583.541273148148</v>
      </c>
      <c r="C354" t="str">
        <f t="shared" si="72"/>
        <v>41</v>
      </c>
      <c r="D354" t="s">
        <v>120</v>
      </c>
      <c r="E354" t="s">
        <v>116</v>
      </c>
      <c r="F354" t="s">
        <v>117</v>
      </c>
      <c r="H354" t="s">
        <v>197</v>
      </c>
      <c r="I354" t="str">
        <f>"101050002021680"</f>
        <v>101050002021680</v>
      </c>
      <c r="J354" t="str">
        <f t="shared" si="73"/>
        <v>514913</v>
      </c>
      <c r="K354" t="s">
        <v>93</v>
      </c>
      <c r="L354">
        <v>91</v>
      </c>
      <c r="M354">
        <v>91</v>
      </c>
      <c r="N354">
        <v>0</v>
      </c>
      <c r="O354" s="1">
        <v>45583.541273148148</v>
      </c>
      <c r="P354" t="s">
        <v>122</v>
      </c>
    </row>
    <row r="355" spans="1:16" x14ac:dyDescent="0.3">
      <c r="A355" t="s">
        <v>25</v>
      </c>
      <c r="B355" s="1">
        <v>45583.541261574072</v>
      </c>
      <c r="C355" t="str">
        <f t="shared" si="72"/>
        <v>41</v>
      </c>
      <c r="D355" t="s">
        <v>120</v>
      </c>
      <c r="E355" t="s">
        <v>116</v>
      </c>
      <c r="F355" t="s">
        <v>117</v>
      </c>
      <c r="H355" t="s">
        <v>197</v>
      </c>
      <c r="I355" t="str">
        <f>"101050002021621"</f>
        <v>101050002021621</v>
      </c>
      <c r="J355" t="str">
        <f t="shared" si="73"/>
        <v>514913</v>
      </c>
      <c r="K355" t="s">
        <v>93</v>
      </c>
      <c r="L355">
        <v>91</v>
      </c>
      <c r="M355">
        <v>91</v>
      </c>
      <c r="N355">
        <v>0</v>
      </c>
      <c r="O355" s="1">
        <v>45583.541261574072</v>
      </c>
      <c r="P355" t="s">
        <v>122</v>
      </c>
    </row>
    <row r="356" spans="1:16" x14ac:dyDescent="0.3">
      <c r="A356" t="s">
        <v>25</v>
      </c>
      <c r="B356" s="1">
        <v>45583.541261574072</v>
      </c>
      <c r="C356" t="str">
        <f t="shared" si="72"/>
        <v>41</v>
      </c>
      <c r="D356" t="s">
        <v>120</v>
      </c>
      <c r="E356" t="s">
        <v>116</v>
      </c>
      <c r="F356" t="s">
        <v>117</v>
      </c>
      <c r="H356" t="s">
        <v>197</v>
      </c>
      <c r="I356" t="str">
        <f>"101050002021679"</f>
        <v>101050002021679</v>
      </c>
      <c r="J356" t="str">
        <f t="shared" si="73"/>
        <v>514913</v>
      </c>
      <c r="K356" t="s">
        <v>93</v>
      </c>
      <c r="L356">
        <v>91</v>
      </c>
      <c r="M356">
        <v>91</v>
      </c>
      <c r="N356">
        <v>0</v>
      </c>
      <c r="O356" s="1">
        <v>45583.541261574072</v>
      </c>
      <c r="P356" t="s">
        <v>122</v>
      </c>
    </row>
    <row r="357" spans="1:16" x14ac:dyDescent="0.3">
      <c r="A357" t="s">
        <v>25</v>
      </c>
      <c r="B357" s="1">
        <v>45583.541192129633</v>
      </c>
      <c r="C357" t="str">
        <f>"38"</f>
        <v>38</v>
      </c>
      <c r="D357" t="s">
        <v>115</v>
      </c>
      <c r="E357" t="s">
        <v>116</v>
      </c>
      <c r="F357" t="s">
        <v>117</v>
      </c>
      <c r="H357" t="s">
        <v>198</v>
      </c>
      <c r="L357">
        <v>0</v>
      </c>
      <c r="M357">
        <v>0</v>
      </c>
      <c r="N357">
        <v>0</v>
      </c>
      <c r="O357" s="1">
        <v>45583.541192129633</v>
      </c>
      <c r="P357" t="s">
        <v>138</v>
      </c>
    </row>
    <row r="358" spans="1:16" x14ac:dyDescent="0.3">
      <c r="A358" t="s">
        <v>25</v>
      </c>
      <c r="B358" s="1">
        <v>45583.541192129633</v>
      </c>
      <c r="C358" t="str">
        <f t="shared" ref="C358:C363" si="74">"41"</f>
        <v>41</v>
      </c>
      <c r="D358" t="s">
        <v>120</v>
      </c>
      <c r="E358" t="s">
        <v>116</v>
      </c>
      <c r="F358" t="s">
        <v>117</v>
      </c>
      <c r="H358" t="s">
        <v>198</v>
      </c>
      <c r="I358" t="str">
        <f>"101050002021803"</f>
        <v>101050002021803</v>
      </c>
      <c r="J358" t="str">
        <f t="shared" ref="J358:J363" si="75">"127577"</f>
        <v>127577</v>
      </c>
      <c r="K358" t="s">
        <v>62</v>
      </c>
      <c r="L358">
        <v>91</v>
      </c>
      <c r="M358">
        <v>91</v>
      </c>
      <c r="N358">
        <v>0</v>
      </c>
      <c r="O358" s="1">
        <v>45583.541192129633</v>
      </c>
      <c r="P358" t="s">
        <v>138</v>
      </c>
    </row>
    <row r="359" spans="1:16" x14ac:dyDescent="0.3">
      <c r="A359" t="s">
        <v>25</v>
      </c>
      <c r="B359" s="1">
        <v>45583.541180555556</v>
      </c>
      <c r="C359" t="str">
        <f t="shared" si="74"/>
        <v>41</v>
      </c>
      <c r="D359" t="s">
        <v>120</v>
      </c>
      <c r="E359" t="s">
        <v>116</v>
      </c>
      <c r="F359" t="s">
        <v>117</v>
      </c>
      <c r="H359" t="s">
        <v>198</v>
      </c>
      <c r="I359" t="str">
        <f>"101050002022473"</f>
        <v>101050002022473</v>
      </c>
      <c r="J359" t="str">
        <f t="shared" si="75"/>
        <v>127577</v>
      </c>
      <c r="K359" t="s">
        <v>62</v>
      </c>
      <c r="L359">
        <v>91</v>
      </c>
      <c r="M359">
        <v>91</v>
      </c>
      <c r="N359">
        <v>0</v>
      </c>
      <c r="O359" s="1">
        <v>45583.541180555556</v>
      </c>
      <c r="P359" t="s">
        <v>138</v>
      </c>
    </row>
    <row r="360" spans="1:16" x14ac:dyDescent="0.3">
      <c r="A360" t="s">
        <v>25</v>
      </c>
      <c r="B360" s="1">
        <v>45583.541180555556</v>
      </c>
      <c r="C360" t="str">
        <f t="shared" si="74"/>
        <v>41</v>
      </c>
      <c r="D360" t="s">
        <v>120</v>
      </c>
      <c r="E360" t="s">
        <v>116</v>
      </c>
      <c r="F360" t="s">
        <v>117</v>
      </c>
      <c r="H360" t="s">
        <v>198</v>
      </c>
      <c r="I360" t="str">
        <f>"101050002021866"</f>
        <v>101050002021866</v>
      </c>
      <c r="J360" t="str">
        <f t="shared" si="75"/>
        <v>127577</v>
      </c>
      <c r="K360" t="s">
        <v>62</v>
      </c>
      <c r="L360">
        <v>91</v>
      </c>
      <c r="M360">
        <v>91</v>
      </c>
      <c r="N360">
        <v>0</v>
      </c>
      <c r="O360" s="1">
        <v>45583.541180555556</v>
      </c>
      <c r="P360" t="s">
        <v>138</v>
      </c>
    </row>
    <row r="361" spans="1:16" x14ac:dyDescent="0.3">
      <c r="A361" t="s">
        <v>25</v>
      </c>
      <c r="B361" s="1">
        <v>45583.541180555556</v>
      </c>
      <c r="C361" t="str">
        <f t="shared" si="74"/>
        <v>41</v>
      </c>
      <c r="D361" t="s">
        <v>120</v>
      </c>
      <c r="E361" t="s">
        <v>116</v>
      </c>
      <c r="F361" t="s">
        <v>117</v>
      </c>
      <c r="H361" t="s">
        <v>198</v>
      </c>
      <c r="I361" t="str">
        <f>"101050002022120"</f>
        <v>101050002022120</v>
      </c>
      <c r="J361" t="str">
        <f t="shared" si="75"/>
        <v>127577</v>
      </c>
      <c r="K361" t="s">
        <v>62</v>
      </c>
      <c r="L361">
        <v>91</v>
      </c>
      <c r="M361">
        <v>91</v>
      </c>
      <c r="N361">
        <v>0</v>
      </c>
      <c r="O361" s="1">
        <v>45583.541180555556</v>
      </c>
      <c r="P361" t="s">
        <v>138</v>
      </c>
    </row>
    <row r="362" spans="1:16" x14ac:dyDescent="0.3">
      <c r="A362" t="s">
        <v>25</v>
      </c>
      <c r="B362" s="1">
        <v>45583.541180555556</v>
      </c>
      <c r="C362" t="str">
        <f t="shared" si="74"/>
        <v>41</v>
      </c>
      <c r="D362" t="s">
        <v>120</v>
      </c>
      <c r="E362" t="s">
        <v>116</v>
      </c>
      <c r="F362" t="s">
        <v>117</v>
      </c>
      <c r="H362" t="s">
        <v>198</v>
      </c>
      <c r="I362" t="str">
        <f>"101050002022114"</f>
        <v>101050002022114</v>
      </c>
      <c r="J362" t="str">
        <f t="shared" si="75"/>
        <v>127577</v>
      </c>
      <c r="K362" t="s">
        <v>62</v>
      </c>
      <c r="L362">
        <v>91</v>
      </c>
      <c r="M362">
        <v>91</v>
      </c>
      <c r="N362">
        <v>0</v>
      </c>
      <c r="O362" s="1">
        <v>45583.541180555556</v>
      </c>
      <c r="P362" t="s">
        <v>138</v>
      </c>
    </row>
    <row r="363" spans="1:16" x14ac:dyDescent="0.3">
      <c r="A363" t="s">
        <v>25</v>
      </c>
      <c r="B363" s="1">
        <v>45583.541180555556</v>
      </c>
      <c r="C363" t="str">
        <f t="shared" si="74"/>
        <v>41</v>
      </c>
      <c r="D363" t="s">
        <v>120</v>
      </c>
      <c r="E363" t="s">
        <v>116</v>
      </c>
      <c r="F363" t="s">
        <v>117</v>
      </c>
      <c r="H363" t="s">
        <v>198</v>
      </c>
      <c r="I363" t="str">
        <f>"101050002016622"</f>
        <v>101050002016622</v>
      </c>
      <c r="J363" t="str">
        <f t="shared" si="75"/>
        <v>127577</v>
      </c>
      <c r="K363" t="s">
        <v>62</v>
      </c>
      <c r="L363">
        <v>91</v>
      </c>
      <c r="M363">
        <v>91</v>
      </c>
      <c r="N363">
        <v>0</v>
      </c>
      <c r="O363" s="1">
        <v>45583.541180555556</v>
      </c>
      <c r="P363" t="s">
        <v>138</v>
      </c>
    </row>
    <row r="364" spans="1:16" x14ac:dyDescent="0.3">
      <c r="A364" t="s">
        <v>25</v>
      </c>
      <c r="B364" s="1">
        <v>45583.540532407409</v>
      </c>
      <c r="C364" t="str">
        <f>"38"</f>
        <v>38</v>
      </c>
      <c r="D364" t="s">
        <v>115</v>
      </c>
      <c r="E364" t="s">
        <v>116</v>
      </c>
      <c r="F364" t="s">
        <v>117</v>
      </c>
      <c r="H364" t="s">
        <v>199</v>
      </c>
      <c r="L364">
        <v>0</v>
      </c>
      <c r="M364">
        <v>0</v>
      </c>
      <c r="N364">
        <v>0</v>
      </c>
      <c r="O364" s="1">
        <v>45583.540532407409</v>
      </c>
      <c r="P364" t="s">
        <v>119</v>
      </c>
    </row>
    <row r="365" spans="1:16" x14ac:dyDescent="0.3">
      <c r="A365" t="s">
        <v>25</v>
      </c>
      <c r="B365" s="1">
        <v>45583.540486111109</v>
      </c>
      <c r="C365" t="str">
        <f>"38"</f>
        <v>38</v>
      </c>
      <c r="D365" t="s">
        <v>115</v>
      </c>
      <c r="E365" t="s">
        <v>116</v>
      </c>
      <c r="F365" t="s">
        <v>117</v>
      </c>
      <c r="H365" t="s">
        <v>200</v>
      </c>
      <c r="L365">
        <v>0</v>
      </c>
      <c r="M365">
        <v>0</v>
      </c>
      <c r="N365">
        <v>0</v>
      </c>
      <c r="O365" s="1">
        <v>45583.540486111109</v>
      </c>
      <c r="P365" t="s">
        <v>119</v>
      </c>
    </row>
    <row r="366" spans="1:16" x14ac:dyDescent="0.3">
      <c r="A366" t="s">
        <v>25</v>
      </c>
      <c r="B366" s="1">
        <v>45583.540486111109</v>
      </c>
      <c r="C366" t="str">
        <f>"41"</f>
        <v>41</v>
      </c>
      <c r="D366" t="s">
        <v>120</v>
      </c>
      <c r="E366" t="s">
        <v>116</v>
      </c>
      <c r="F366" t="s">
        <v>117</v>
      </c>
      <c r="H366" t="s">
        <v>200</v>
      </c>
      <c r="I366" t="str">
        <f>"101050002016404"</f>
        <v>101050002016404</v>
      </c>
      <c r="J366" t="str">
        <f>"127577"</f>
        <v>127577</v>
      </c>
      <c r="K366" t="s">
        <v>62</v>
      </c>
      <c r="L366">
        <v>91</v>
      </c>
      <c r="M366">
        <v>91</v>
      </c>
      <c r="N366">
        <v>0</v>
      </c>
      <c r="O366" s="1">
        <v>45583.540486111109</v>
      </c>
      <c r="P366" t="s">
        <v>119</v>
      </c>
    </row>
    <row r="367" spans="1:16" x14ac:dyDescent="0.3">
      <c r="A367" t="s">
        <v>25</v>
      </c>
      <c r="B367" s="1">
        <v>45583.540312500001</v>
      </c>
      <c r="C367" t="str">
        <f>"38"</f>
        <v>38</v>
      </c>
      <c r="D367" t="s">
        <v>115</v>
      </c>
      <c r="E367" t="s">
        <v>116</v>
      </c>
      <c r="F367" t="s">
        <v>117</v>
      </c>
      <c r="H367" t="s">
        <v>201</v>
      </c>
      <c r="L367">
        <v>0</v>
      </c>
      <c r="M367">
        <v>0</v>
      </c>
      <c r="N367">
        <v>0</v>
      </c>
      <c r="O367" s="1">
        <v>45583.540312500001</v>
      </c>
      <c r="P367" t="s">
        <v>132</v>
      </c>
    </row>
    <row r="368" spans="1:16" x14ac:dyDescent="0.3">
      <c r="A368" t="s">
        <v>25</v>
      </c>
      <c r="B368" s="1">
        <v>45583.540312500001</v>
      </c>
      <c r="C368" t="str">
        <f t="shared" ref="C368:C373" si="76">"41"</f>
        <v>41</v>
      </c>
      <c r="D368" t="s">
        <v>120</v>
      </c>
      <c r="E368" t="s">
        <v>116</v>
      </c>
      <c r="F368" t="s">
        <v>117</v>
      </c>
      <c r="H368" t="s">
        <v>201</v>
      </c>
      <c r="I368" t="str">
        <f>"101050002026192"</f>
        <v>101050002026192</v>
      </c>
      <c r="J368" t="str">
        <f t="shared" ref="J368:J373" si="77">"0800"</f>
        <v>0800</v>
      </c>
      <c r="K368" t="s">
        <v>26</v>
      </c>
      <c r="L368">
        <v>49</v>
      </c>
      <c r="M368">
        <v>49</v>
      </c>
      <c r="N368">
        <v>0</v>
      </c>
      <c r="O368" s="1">
        <v>45583.540312500001</v>
      </c>
      <c r="P368" t="s">
        <v>132</v>
      </c>
    </row>
    <row r="369" spans="1:16" x14ac:dyDescent="0.3">
      <c r="A369" t="s">
        <v>25</v>
      </c>
      <c r="B369" s="1">
        <v>45583.540312500001</v>
      </c>
      <c r="C369" t="str">
        <f t="shared" si="76"/>
        <v>41</v>
      </c>
      <c r="D369" t="s">
        <v>120</v>
      </c>
      <c r="E369" t="s">
        <v>116</v>
      </c>
      <c r="F369" t="s">
        <v>117</v>
      </c>
      <c r="H369" t="s">
        <v>201</v>
      </c>
      <c r="I369" t="str">
        <f>"101050002026191"</f>
        <v>101050002026191</v>
      </c>
      <c r="J369" t="str">
        <f t="shared" si="77"/>
        <v>0800</v>
      </c>
      <c r="K369" t="s">
        <v>26</v>
      </c>
      <c r="L369">
        <v>49</v>
      </c>
      <c r="M369">
        <v>49</v>
      </c>
      <c r="N369">
        <v>0</v>
      </c>
      <c r="O369" s="1">
        <v>45583.540312500001</v>
      </c>
      <c r="P369" t="s">
        <v>132</v>
      </c>
    </row>
    <row r="370" spans="1:16" x14ac:dyDescent="0.3">
      <c r="A370" t="s">
        <v>25</v>
      </c>
      <c r="B370" s="1">
        <v>45583.540312500001</v>
      </c>
      <c r="C370" t="str">
        <f t="shared" si="76"/>
        <v>41</v>
      </c>
      <c r="D370" t="s">
        <v>120</v>
      </c>
      <c r="E370" t="s">
        <v>116</v>
      </c>
      <c r="F370" t="s">
        <v>117</v>
      </c>
      <c r="H370" t="s">
        <v>201</v>
      </c>
      <c r="I370" t="str">
        <f>"101050002007392"</f>
        <v>101050002007392</v>
      </c>
      <c r="J370" t="str">
        <f t="shared" si="77"/>
        <v>0800</v>
      </c>
      <c r="K370" t="s">
        <v>26</v>
      </c>
      <c r="L370">
        <v>49</v>
      </c>
      <c r="M370">
        <v>49</v>
      </c>
      <c r="N370">
        <v>0</v>
      </c>
      <c r="O370" s="1">
        <v>45583.540312500001</v>
      </c>
      <c r="P370" t="s">
        <v>132</v>
      </c>
    </row>
    <row r="371" spans="1:16" x14ac:dyDescent="0.3">
      <c r="A371" t="s">
        <v>25</v>
      </c>
      <c r="B371" s="1">
        <v>45583.540312500001</v>
      </c>
      <c r="C371" t="str">
        <f t="shared" si="76"/>
        <v>41</v>
      </c>
      <c r="D371" t="s">
        <v>120</v>
      </c>
      <c r="E371" t="s">
        <v>116</v>
      </c>
      <c r="F371" t="s">
        <v>117</v>
      </c>
      <c r="H371" t="s">
        <v>201</v>
      </c>
      <c r="I371" t="str">
        <f>"101050002007556"</f>
        <v>101050002007556</v>
      </c>
      <c r="J371" t="str">
        <f t="shared" si="77"/>
        <v>0800</v>
      </c>
      <c r="K371" t="s">
        <v>26</v>
      </c>
      <c r="L371">
        <v>49</v>
      </c>
      <c r="M371">
        <v>49</v>
      </c>
      <c r="N371">
        <v>0</v>
      </c>
      <c r="O371" s="1">
        <v>45583.540312500001</v>
      </c>
      <c r="P371" t="s">
        <v>132</v>
      </c>
    </row>
    <row r="372" spans="1:16" x14ac:dyDescent="0.3">
      <c r="A372" t="s">
        <v>25</v>
      </c>
      <c r="B372" s="1">
        <v>45583.540312500001</v>
      </c>
      <c r="C372" t="str">
        <f t="shared" si="76"/>
        <v>41</v>
      </c>
      <c r="D372" t="s">
        <v>120</v>
      </c>
      <c r="E372" t="s">
        <v>116</v>
      </c>
      <c r="F372" t="s">
        <v>117</v>
      </c>
      <c r="H372" t="s">
        <v>201</v>
      </c>
      <c r="I372" t="str">
        <f>"101050002007279"</f>
        <v>101050002007279</v>
      </c>
      <c r="J372" t="str">
        <f t="shared" si="77"/>
        <v>0800</v>
      </c>
      <c r="K372" t="s">
        <v>26</v>
      </c>
      <c r="L372">
        <v>49</v>
      </c>
      <c r="M372">
        <v>49</v>
      </c>
      <c r="N372">
        <v>0</v>
      </c>
      <c r="O372" s="1">
        <v>45583.540312500001</v>
      </c>
      <c r="P372" t="s">
        <v>132</v>
      </c>
    </row>
    <row r="373" spans="1:16" x14ac:dyDescent="0.3">
      <c r="A373" t="s">
        <v>25</v>
      </c>
      <c r="B373" s="1">
        <v>45583.540312500001</v>
      </c>
      <c r="C373" t="str">
        <f t="shared" si="76"/>
        <v>41</v>
      </c>
      <c r="D373" t="s">
        <v>120</v>
      </c>
      <c r="E373" t="s">
        <v>116</v>
      </c>
      <c r="F373" t="s">
        <v>117</v>
      </c>
      <c r="H373" t="s">
        <v>201</v>
      </c>
      <c r="I373" t="str">
        <f>"101050002007393"</f>
        <v>101050002007393</v>
      </c>
      <c r="J373" t="str">
        <f t="shared" si="77"/>
        <v>0800</v>
      </c>
      <c r="K373" t="s">
        <v>26</v>
      </c>
      <c r="L373">
        <v>49</v>
      </c>
      <c r="M373">
        <v>49</v>
      </c>
      <c r="N373">
        <v>0</v>
      </c>
      <c r="O373" s="1">
        <v>45583.540312500001</v>
      </c>
      <c r="P373" t="s">
        <v>132</v>
      </c>
    </row>
    <row r="374" spans="1:16" x14ac:dyDescent="0.3">
      <c r="A374" t="s">
        <v>25</v>
      </c>
      <c r="B374" s="1">
        <v>45583.539513888885</v>
      </c>
      <c r="C374" t="str">
        <f>"38"</f>
        <v>38</v>
      </c>
      <c r="D374" t="s">
        <v>115</v>
      </c>
      <c r="E374" t="s">
        <v>116</v>
      </c>
      <c r="F374" t="s">
        <v>117</v>
      </c>
      <c r="H374" t="s">
        <v>202</v>
      </c>
      <c r="L374">
        <v>0</v>
      </c>
      <c r="M374">
        <v>0</v>
      </c>
      <c r="N374">
        <v>0</v>
      </c>
      <c r="O374" s="1">
        <v>45583.539513888885</v>
      </c>
      <c r="P374" t="s">
        <v>132</v>
      </c>
    </row>
    <row r="375" spans="1:16" x14ac:dyDescent="0.3">
      <c r="A375" t="s">
        <v>25</v>
      </c>
      <c r="B375" s="1">
        <v>45583.539513888885</v>
      </c>
      <c r="C375" t="str">
        <f t="shared" ref="C375:C381" si="78">"41"</f>
        <v>41</v>
      </c>
      <c r="D375" t="s">
        <v>120</v>
      </c>
      <c r="E375" t="s">
        <v>116</v>
      </c>
      <c r="F375" t="s">
        <v>117</v>
      </c>
      <c r="H375" t="s">
        <v>202</v>
      </c>
      <c r="I375" t="str">
        <f>"101570001113531"</f>
        <v>101570001113531</v>
      </c>
      <c r="J375" t="str">
        <f t="shared" ref="J375:J381" si="79">"128431"</f>
        <v>128431</v>
      </c>
      <c r="K375" t="s">
        <v>11</v>
      </c>
      <c r="L375">
        <v>49</v>
      </c>
      <c r="M375">
        <v>49</v>
      </c>
      <c r="N375">
        <v>0</v>
      </c>
      <c r="O375" s="1">
        <v>45583.539513888885</v>
      </c>
      <c r="P375" t="s">
        <v>132</v>
      </c>
    </row>
    <row r="376" spans="1:16" x14ac:dyDescent="0.3">
      <c r="A376" t="s">
        <v>25</v>
      </c>
      <c r="B376" s="1">
        <v>45583.539513888885</v>
      </c>
      <c r="C376" t="str">
        <f t="shared" si="78"/>
        <v>41</v>
      </c>
      <c r="D376" t="s">
        <v>120</v>
      </c>
      <c r="E376" t="s">
        <v>116</v>
      </c>
      <c r="F376" t="s">
        <v>117</v>
      </c>
      <c r="H376" t="s">
        <v>202</v>
      </c>
      <c r="I376" t="str">
        <f>"101570001113533"</f>
        <v>101570001113533</v>
      </c>
      <c r="J376" t="str">
        <f t="shared" si="79"/>
        <v>128431</v>
      </c>
      <c r="K376" t="s">
        <v>11</v>
      </c>
      <c r="L376">
        <v>49</v>
      </c>
      <c r="M376">
        <v>49</v>
      </c>
      <c r="N376">
        <v>0</v>
      </c>
      <c r="O376" s="1">
        <v>45583.539513888885</v>
      </c>
      <c r="P376" t="s">
        <v>132</v>
      </c>
    </row>
    <row r="377" spans="1:16" x14ac:dyDescent="0.3">
      <c r="A377" t="s">
        <v>25</v>
      </c>
      <c r="B377" s="1">
        <v>45583.539513888885</v>
      </c>
      <c r="C377" t="str">
        <f t="shared" si="78"/>
        <v>41</v>
      </c>
      <c r="D377" t="s">
        <v>120</v>
      </c>
      <c r="E377" t="s">
        <v>116</v>
      </c>
      <c r="F377" t="s">
        <v>117</v>
      </c>
      <c r="H377" t="s">
        <v>202</v>
      </c>
      <c r="I377" t="str">
        <f>"101570001113687"</f>
        <v>101570001113687</v>
      </c>
      <c r="J377" t="str">
        <f t="shared" si="79"/>
        <v>128431</v>
      </c>
      <c r="K377" t="s">
        <v>11</v>
      </c>
      <c r="L377">
        <v>49</v>
      </c>
      <c r="M377">
        <v>49</v>
      </c>
      <c r="N377">
        <v>0</v>
      </c>
      <c r="O377" s="1">
        <v>45583.539513888885</v>
      </c>
      <c r="P377" t="s">
        <v>132</v>
      </c>
    </row>
    <row r="378" spans="1:16" x14ac:dyDescent="0.3">
      <c r="A378" t="s">
        <v>25</v>
      </c>
      <c r="B378" s="1">
        <v>45583.539513888885</v>
      </c>
      <c r="C378" t="str">
        <f t="shared" si="78"/>
        <v>41</v>
      </c>
      <c r="D378" t="s">
        <v>120</v>
      </c>
      <c r="E378" t="s">
        <v>116</v>
      </c>
      <c r="F378" t="s">
        <v>117</v>
      </c>
      <c r="H378" t="s">
        <v>202</v>
      </c>
      <c r="I378" t="str">
        <f>"101570001113670"</f>
        <v>101570001113670</v>
      </c>
      <c r="J378" t="str">
        <f t="shared" si="79"/>
        <v>128431</v>
      </c>
      <c r="K378" t="s">
        <v>11</v>
      </c>
      <c r="L378">
        <v>49</v>
      </c>
      <c r="M378">
        <v>49</v>
      </c>
      <c r="N378">
        <v>0</v>
      </c>
      <c r="O378" s="1">
        <v>45583.539513888885</v>
      </c>
      <c r="P378" t="s">
        <v>132</v>
      </c>
    </row>
    <row r="379" spans="1:16" x14ac:dyDescent="0.3">
      <c r="A379" t="s">
        <v>25</v>
      </c>
      <c r="B379" s="1">
        <v>45583.539513888885</v>
      </c>
      <c r="C379" t="str">
        <f t="shared" si="78"/>
        <v>41</v>
      </c>
      <c r="D379" t="s">
        <v>120</v>
      </c>
      <c r="E379" t="s">
        <v>116</v>
      </c>
      <c r="F379" t="s">
        <v>117</v>
      </c>
      <c r="H379" t="s">
        <v>202</v>
      </c>
      <c r="I379" t="str">
        <f>"101570001113684"</f>
        <v>101570001113684</v>
      </c>
      <c r="J379" t="str">
        <f t="shared" si="79"/>
        <v>128431</v>
      </c>
      <c r="K379" t="s">
        <v>11</v>
      </c>
      <c r="L379">
        <v>49</v>
      </c>
      <c r="M379">
        <v>49</v>
      </c>
      <c r="N379">
        <v>0</v>
      </c>
      <c r="O379" s="1">
        <v>45583.539513888885</v>
      </c>
      <c r="P379" t="s">
        <v>132</v>
      </c>
    </row>
    <row r="380" spans="1:16" x14ac:dyDescent="0.3">
      <c r="A380" t="s">
        <v>25</v>
      </c>
      <c r="B380" s="1">
        <v>45583.539513888885</v>
      </c>
      <c r="C380" t="str">
        <f t="shared" si="78"/>
        <v>41</v>
      </c>
      <c r="D380" t="s">
        <v>120</v>
      </c>
      <c r="E380" t="s">
        <v>116</v>
      </c>
      <c r="F380" t="s">
        <v>117</v>
      </c>
      <c r="H380" t="s">
        <v>202</v>
      </c>
      <c r="I380" t="str">
        <f>"101570001113330"</f>
        <v>101570001113330</v>
      </c>
      <c r="J380" t="str">
        <f t="shared" si="79"/>
        <v>128431</v>
      </c>
      <c r="K380" t="s">
        <v>11</v>
      </c>
      <c r="L380">
        <v>49</v>
      </c>
      <c r="M380">
        <v>49</v>
      </c>
      <c r="N380">
        <v>0</v>
      </c>
      <c r="O380" s="1">
        <v>45583.539513888885</v>
      </c>
      <c r="P380" t="s">
        <v>132</v>
      </c>
    </row>
    <row r="381" spans="1:16" x14ac:dyDescent="0.3">
      <c r="A381" t="s">
        <v>25</v>
      </c>
      <c r="B381" s="1">
        <v>45583.539502314816</v>
      </c>
      <c r="C381" t="str">
        <f t="shared" si="78"/>
        <v>41</v>
      </c>
      <c r="D381" t="s">
        <v>120</v>
      </c>
      <c r="E381" t="s">
        <v>116</v>
      </c>
      <c r="F381" t="s">
        <v>117</v>
      </c>
      <c r="H381" t="s">
        <v>202</v>
      </c>
      <c r="I381" t="str">
        <f>"101570001113178"</f>
        <v>101570001113178</v>
      </c>
      <c r="J381" t="str">
        <f t="shared" si="79"/>
        <v>128431</v>
      </c>
      <c r="K381" t="s">
        <v>11</v>
      </c>
      <c r="L381">
        <v>49</v>
      </c>
      <c r="M381">
        <v>49</v>
      </c>
      <c r="N381">
        <v>0</v>
      </c>
      <c r="O381" s="1">
        <v>45583.539502314816</v>
      </c>
      <c r="P381" t="s">
        <v>132</v>
      </c>
    </row>
    <row r="382" spans="1:16" x14ac:dyDescent="0.3">
      <c r="A382" t="s">
        <v>25</v>
      </c>
      <c r="B382" s="1">
        <v>45583.539756944447</v>
      </c>
      <c r="C382" t="str">
        <f>"38"</f>
        <v>38</v>
      </c>
      <c r="D382" t="s">
        <v>115</v>
      </c>
      <c r="E382" t="s">
        <v>116</v>
      </c>
      <c r="F382" t="s">
        <v>117</v>
      </c>
      <c r="H382" t="s">
        <v>203</v>
      </c>
      <c r="L382">
        <v>0</v>
      </c>
      <c r="M382">
        <v>0</v>
      </c>
      <c r="N382">
        <v>0</v>
      </c>
      <c r="O382" s="1">
        <v>45583.539756944447</v>
      </c>
      <c r="P382" t="s">
        <v>122</v>
      </c>
    </row>
    <row r="383" spans="1:16" x14ac:dyDescent="0.3">
      <c r="A383" t="s">
        <v>25</v>
      </c>
      <c r="B383" s="1">
        <v>45583.539756944447</v>
      </c>
      <c r="C383" t="str">
        <f t="shared" ref="C383:C388" si="80">"41"</f>
        <v>41</v>
      </c>
      <c r="D383" t="s">
        <v>120</v>
      </c>
      <c r="E383" t="s">
        <v>116</v>
      </c>
      <c r="F383" t="s">
        <v>117</v>
      </c>
      <c r="H383" t="s">
        <v>203</v>
      </c>
      <c r="I383" t="str">
        <f>"101050002023137"</f>
        <v>101050002023137</v>
      </c>
      <c r="J383" t="str">
        <f t="shared" ref="J383:J388" si="81">"127577"</f>
        <v>127577</v>
      </c>
      <c r="K383" t="s">
        <v>62</v>
      </c>
      <c r="L383">
        <v>91</v>
      </c>
      <c r="M383">
        <v>91</v>
      </c>
      <c r="N383">
        <v>0</v>
      </c>
      <c r="O383" s="1">
        <v>45583.539756944447</v>
      </c>
      <c r="P383" t="s">
        <v>122</v>
      </c>
    </row>
    <row r="384" spans="1:16" x14ac:dyDescent="0.3">
      <c r="A384" t="s">
        <v>25</v>
      </c>
      <c r="B384" s="1">
        <v>45583.539756944447</v>
      </c>
      <c r="C384" t="str">
        <f t="shared" si="80"/>
        <v>41</v>
      </c>
      <c r="D384" t="s">
        <v>120</v>
      </c>
      <c r="E384" t="s">
        <v>116</v>
      </c>
      <c r="F384" t="s">
        <v>117</v>
      </c>
      <c r="H384" t="s">
        <v>203</v>
      </c>
      <c r="I384" t="str">
        <f>"101050002023136"</f>
        <v>101050002023136</v>
      </c>
      <c r="J384" t="str">
        <f t="shared" si="81"/>
        <v>127577</v>
      </c>
      <c r="K384" t="s">
        <v>62</v>
      </c>
      <c r="L384">
        <v>91</v>
      </c>
      <c r="M384">
        <v>91</v>
      </c>
      <c r="N384">
        <v>0</v>
      </c>
      <c r="O384" s="1">
        <v>45583.539756944447</v>
      </c>
      <c r="P384" t="s">
        <v>122</v>
      </c>
    </row>
    <row r="385" spans="1:16" x14ac:dyDescent="0.3">
      <c r="A385" t="s">
        <v>25</v>
      </c>
      <c r="B385" s="1">
        <v>45583.539756944447</v>
      </c>
      <c r="C385" t="str">
        <f t="shared" si="80"/>
        <v>41</v>
      </c>
      <c r="D385" t="s">
        <v>120</v>
      </c>
      <c r="E385" t="s">
        <v>116</v>
      </c>
      <c r="F385" t="s">
        <v>117</v>
      </c>
      <c r="H385" t="s">
        <v>203</v>
      </c>
      <c r="I385" t="str">
        <f>"101050002022994"</f>
        <v>101050002022994</v>
      </c>
      <c r="J385" t="str">
        <f t="shared" si="81"/>
        <v>127577</v>
      </c>
      <c r="K385" t="s">
        <v>62</v>
      </c>
      <c r="L385">
        <v>91</v>
      </c>
      <c r="M385">
        <v>91</v>
      </c>
      <c r="N385">
        <v>0</v>
      </c>
      <c r="O385" s="1">
        <v>45583.539756944447</v>
      </c>
      <c r="P385" t="s">
        <v>122</v>
      </c>
    </row>
    <row r="386" spans="1:16" x14ac:dyDescent="0.3">
      <c r="A386" t="s">
        <v>25</v>
      </c>
      <c r="B386" s="1">
        <v>45583.53974537037</v>
      </c>
      <c r="C386" t="str">
        <f t="shared" si="80"/>
        <v>41</v>
      </c>
      <c r="D386" t="s">
        <v>120</v>
      </c>
      <c r="E386" t="s">
        <v>116</v>
      </c>
      <c r="F386" t="s">
        <v>117</v>
      </c>
      <c r="H386" t="s">
        <v>203</v>
      </c>
      <c r="I386" t="str">
        <f>"101050002022610"</f>
        <v>101050002022610</v>
      </c>
      <c r="J386" t="str">
        <f t="shared" si="81"/>
        <v>127577</v>
      </c>
      <c r="K386" t="s">
        <v>62</v>
      </c>
      <c r="L386">
        <v>91</v>
      </c>
      <c r="M386">
        <v>91</v>
      </c>
      <c r="N386">
        <v>0</v>
      </c>
      <c r="O386" s="1">
        <v>45583.53974537037</v>
      </c>
      <c r="P386" t="s">
        <v>122</v>
      </c>
    </row>
    <row r="387" spans="1:16" x14ac:dyDescent="0.3">
      <c r="A387" t="s">
        <v>25</v>
      </c>
      <c r="B387" s="1">
        <v>45583.53974537037</v>
      </c>
      <c r="C387" t="str">
        <f t="shared" si="80"/>
        <v>41</v>
      </c>
      <c r="D387" t="s">
        <v>120</v>
      </c>
      <c r="E387" t="s">
        <v>116</v>
      </c>
      <c r="F387" t="s">
        <v>117</v>
      </c>
      <c r="H387" t="s">
        <v>203</v>
      </c>
      <c r="I387" t="str">
        <f>"101050002021616"</f>
        <v>101050002021616</v>
      </c>
      <c r="J387" t="str">
        <f t="shared" si="81"/>
        <v>127577</v>
      </c>
      <c r="K387" t="s">
        <v>62</v>
      </c>
      <c r="L387">
        <v>91</v>
      </c>
      <c r="M387">
        <v>91</v>
      </c>
      <c r="N387">
        <v>0</v>
      </c>
      <c r="O387" s="1">
        <v>45583.53974537037</v>
      </c>
      <c r="P387" t="s">
        <v>122</v>
      </c>
    </row>
    <row r="388" spans="1:16" x14ac:dyDescent="0.3">
      <c r="A388" t="s">
        <v>25</v>
      </c>
      <c r="B388" s="1">
        <v>45583.53974537037</v>
      </c>
      <c r="C388" t="str">
        <f t="shared" si="80"/>
        <v>41</v>
      </c>
      <c r="D388" t="s">
        <v>120</v>
      </c>
      <c r="E388" t="s">
        <v>116</v>
      </c>
      <c r="F388" t="s">
        <v>117</v>
      </c>
      <c r="H388" t="s">
        <v>203</v>
      </c>
      <c r="I388" t="str">
        <f>"101050002022611"</f>
        <v>101050002022611</v>
      </c>
      <c r="J388" t="str">
        <f t="shared" si="81"/>
        <v>127577</v>
      </c>
      <c r="K388" t="s">
        <v>62</v>
      </c>
      <c r="L388">
        <v>91</v>
      </c>
      <c r="M388">
        <v>91</v>
      </c>
      <c r="N388">
        <v>0</v>
      </c>
      <c r="O388" s="1">
        <v>45583.53974537037</v>
      </c>
      <c r="P388" t="s">
        <v>122</v>
      </c>
    </row>
    <row r="389" spans="1:16" x14ac:dyDescent="0.3">
      <c r="A389" t="s">
        <v>25</v>
      </c>
      <c r="B389" s="1">
        <v>45583.537627314814</v>
      </c>
      <c r="C389" t="str">
        <f>"38"</f>
        <v>38</v>
      </c>
      <c r="D389" t="s">
        <v>115</v>
      </c>
      <c r="E389" t="s">
        <v>116</v>
      </c>
      <c r="F389" t="s">
        <v>117</v>
      </c>
      <c r="H389" t="s">
        <v>204</v>
      </c>
      <c r="L389">
        <v>0</v>
      </c>
      <c r="M389">
        <v>0</v>
      </c>
      <c r="N389">
        <v>0</v>
      </c>
      <c r="O389" s="1">
        <v>45583.537627314814</v>
      </c>
      <c r="P389" t="s">
        <v>122</v>
      </c>
    </row>
    <row r="390" spans="1:16" x14ac:dyDescent="0.3">
      <c r="A390" t="s">
        <v>25</v>
      </c>
      <c r="B390" s="1">
        <v>45583.537627314814</v>
      </c>
      <c r="C390" t="str">
        <f>"41"</f>
        <v>41</v>
      </c>
      <c r="D390" t="s">
        <v>120</v>
      </c>
      <c r="E390" t="s">
        <v>116</v>
      </c>
      <c r="F390" t="s">
        <v>117</v>
      </c>
      <c r="H390" t="s">
        <v>204</v>
      </c>
      <c r="I390" t="str">
        <f>"101050002025035"</f>
        <v>101050002025035</v>
      </c>
      <c r="J390" t="str">
        <f>"515122"</f>
        <v>515122</v>
      </c>
      <c r="K390" t="s">
        <v>4</v>
      </c>
      <c r="L390">
        <v>49</v>
      </c>
      <c r="M390">
        <v>49</v>
      </c>
      <c r="N390">
        <v>0</v>
      </c>
      <c r="O390" s="1">
        <v>45583.537627314814</v>
      </c>
      <c r="P390" t="s">
        <v>122</v>
      </c>
    </row>
    <row r="391" spans="1:16" x14ac:dyDescent="0.3">
      <c r="A391" t="s">
        <v>25</v>
      </c>
      <c r="B391" s="1">
        <v>45583.537627314814</v>
      </c>
      <c r="C391" t="str">
        <f>"41"</f>
        <v>41</v>
      </c>
      <c r="D391" t="s">
        <v>120</v>
      </c>
      <c r="E391" t="s">
        <v>116</v>
      </c>
      <c r="F391" t="s">
        <v>117</v>
      </c>
      <c r="H391" t="s">
        <v>204</v>
      </c>
      <c r="I391" t="str">
        <f>"101050002025476"</f>
        <v>101050002025476</v>
      </c>
      <c r="J391" t="str">
        <f>"515122"</f>
        <v>515122</v>
      </c>
      <c r="K391" t="s">
        <v>4</v>
      </c>
      <c r="L391">
        <v>49</v>
      </c>
      <c r="M391">
        <v>49</v>
      </c>
      <c r="N391">
        <v>0</v>
      </c>
      <c r="O391" s="1">
        <v>45583.537627314814</v>
      </c>
      <c r="P391" t="s">
        <v>122</v>
      </c>
    </row>
    <row r="392" spans="1:16" x14ac:dyDescent="0.3">
      <c r="A392" t="s">
        <v>25</v>
      </c>
      <c r="B392" s="1">
        <v>45583.537627314814</v>
      </c>
      <c r="C392" t="str">
        <f>"41"</f>
        <v>41</v>
      </c>
      <c r="D392" t="s">
        <v>120</v>
      </c>
      <c r="E392" t="s">
        <v>116</v>
      </c>
      <c r="F392" t="s">
        <v>117</v>
      </c>
      <c r="H392" t="s">
        <v>204</v>
      </c>
      <c r="I392" t="str">
        <f>"101050002023021"</f>
        <v>101050002023021</v>
      </c>
      <c r="J392" t="str">
        <f>"515122"</f>
        <v>515122</v>
      </c>
      <c r="K392" t="s">
        <v>4</v>
      </c>
      <c r="L392">
        <v>49</v>
      </c>
      <c r="M392">
        <v>49</v>
      </c>
      <c r="N392">
        <v>0</v>
      </c>
      <c r="O392" s="1">
        <v>45583.537627314814</v>
      </c>
      <c r="P392" t="s">
        <v>122</v>
      </c>
    </row>
    <row r="393" spans="1:16" x14ac:dyDescent="0.3">
      <c r="A393" t="s">
        <v>25</v>
      </c>
      <c r="B393" s="1">
        <v>45583.537627314814</v>
      </c>
      <c r="C393" t="str">
        <f>"41"</f>
        <v>41</v>
      </c>
      <c r="D393" t="s">
        <v>120</v>
      </c>
      <c r="E393" t="s">
        <v>116</v>
      </c>
      <c r="F393" t="s">
        <v>117</v>
      </c>
      <c r="H393" t="s">
        <v>204</v>
      </c>
      <c r="I393" t="str">
        <f>"101050002023418"</f>
        <v>101050002023418</v>
      </c>
      <c r="J393" t="str">
        <f>"515122"</f>
        <v>515122</v>
      </c>
      <c r="K393" t="s">
        <v>4</v>
      </c>
      <c r="L393">
        <v>49</v>
      </c>
      <c r="M393">
        <v>49</v>
      </c>
      <c r="N393">
        <v>0</v>
      </c>
      <c r="O393" s="1">
        <v>45583.537627314814</v>
      </c>
      <c r="P393" t="s">
        <v>122</v>
      </c>
    </row>
    <row r="394" spans="1:16" x14ac:dyDescent="0.3">
      <c r="A394" t="s">
        <v>25</v>
      </c>
      <c r="B394" s="1">
        <v>45583.538518518515</v>
      </c>
      <c r="C394" t="str">
        <f>"38"</f>
        <v>38</v>
      </c>
      <c r="D394" t="s">
        <v>115</v>
      </c>
      <c r="E394" t="s">
        <v>116</v>
      </c>
      <c r="F394" t="s">
        <v>117</v>
      </c>
      <c r="H394" t="s">
        <v>205</v>
      </c>
      <c r="L394">
        <v>0</v>
      </c>
      <c r="M394">
        <v>0</v>
      </c>
      <c r="N394">
        <v>0</v>
      </c>
      <c r="O394" s="1">
        <v>45583.538518518515</v>
      </c>
      <c r="P394" t="s">
        <v>138</v>
      </c>
    </row>
    <row r="395" spans="1:16" x14ac:dyDescent="0.3">
      <c r="A395" t="s">
        <v>25</v>
      </c>
      <c r="B395" s="1">
        <v>45583.538518518515</v>
      </c>
      <c r="C395" t="str">
        <f t="shared" ref="C395:C400" si="82">"41"</f>
        <v>41</v>
      </c>
      <c r="D395" t="s">
        <v>120</v>
      </c>
      <c r="E395" t="s">
        <v>116</v>
      </c>
      <c r="F395" t="s">
        <v>117</v>
      </c>
      <c r="H395" t="s">
        <v>205</v>
      </c>
      <c r="I395" t="str">
        <f>"101050002025685"</f>
        <v>101050002025685</v>
      </c>
      <c r="J395" t="str">
        <f t="shared" ref="J395:J400" si="83">"515122"</f>
        <v>515122</v>
      </c>
      <c r="K395" t="s">
        <v>4</v>
      </c>
      <c r="L395">
        <v>49</v>
      </c>
      <c r="M395">
        <v>49</v>
      </c>
      <c r="N395">
        <v>0</v>
      </c>
      <c r="O395" s="1">
        <v>45583.538518518515</v>
      </c>
      <c r="P395" t="s">
        <v>138</v>
      </c>
    </row>
    <row r="396" spans="1:16" x14ac:dyDescent="0.3">
      <c r="A396" t="s">
        <v>25</v>
      </c>
      <c r="B396" s="1">
        <v>45583.538518518515</v>
      </c>
      <c r="C396" t="str">
        <f t="shared" si="82"/>
        <v>41</v>
      </c>
      <c r="D396" t="s">
        <v>120</v>
      </c>
      <c r="E396" t="s">
        <v>116</v>
      </c>
      <c r="F396" t="s">
        <v>117</v>
      </c>
      <c r="H396" t="s">
        <v>205</v>
      </c>
      <c r="I396" t="str">
        <f>"101050002025683"</f>
        <v>101050002025683</v>
      </c>
      <c r="J396" t="str">
        <f t="shared" si="83"/>
        <v>515122</v>
      </c>
      <c r="K396" t="s">
        <v>4</v>
      </c>
      <c r="L396">
        <v>49</v>
      </c>
      <c r="M396">
        <v>49</v>
      </c>
      <c r="N396">
        <v>0</v>
      </c>
      <c r="O396" s="1">
        <v>45583.538518518515</v>
      </c>
      <c r="P396" t="s">
        <v>138</v>
      </c>
    </row>
    <row r="397" spans="1:16" x14ac:dyDescent="0.3">
      <c r="A397" t="s">
        <v>25</v>
      </c>
      <c r="B397" s="1">
        <v>45583.538518518515</v>
      </c>
      <c r="C397" t="str">
        <f t="shared" si="82"/>
        <v>41</v>
      </c>
      <c r="D397" t="s">
        <v>120</v>
      </c>
      <c r="E397" t="s">
        <v>116</v>
      </c>
      <c r="F397" t="s">
        <v>117</v>
      </c>
      <c r="H397" t="s">
        <v>205</v>
      </c>
      <c r="I397" t="str">
        <f>"101050002025036"</f>
        <v>101050002025036</v>
      </c>
      <c r="J397" t="str">
        <f t="shared" si="83"/>
        <v>515122</v>
      </c>
      <c r="K397" t="s">
        <v>4</v>
      </c>
      <c r="L397">
        <v>49</v>
      </c>
      <c r="M397">
        <v>49</v>
      </c>
      <c r="N397">
        <v>0</v>
      </c>
      <c r="O397" s="1">
        <v>45583.538518518515</v>
      </c>
      <c r="P397" t="s">
        <v>138</v>
      </c>
    </row>
    <row r="398" spans="1:16" x14ac:dyDescent="0.3">
      <c r="A398" t="s">
        <v>25</v>
      </c>
      <c r="B398" s="1">
        <v>45583.538518518515</v>
      </c>
      <c r="C398" t="str">
        <f t="shared" si="82"/>
        <v>41</v>
      </c>
      <c r="D398" t="s">
        <v>120</v>
      </c>
      <c r="E398" t="s">
        <v>116</v>
      </c>
      <c r="F398" t="s">
        <v>117</v>
      </c>
      <c r="H398" t="s">
        <v>205</v>
      </c>
      <c r="I398" t="str">
        <f>"101050002025034"</f>
        <v>101050002025034</v>
      </c>
      <c r="J398" t="str">
        <f t="shared" si="83"/>
        <v>515122</v>
      </c>
      <c r="K398" t="s">
        <v>4</v>
      </c>
      <c r="L398">
        <v>49</v>
      </c>
      <c r="M398">
        <v>49</v>
      </c>
      <c r="N398">
        <v>0</v>
      </c>
      <c r="O398" s="1">
        <v>45583.538518518515</v>
      </c>
      <c r="P398" t="s">
        <v>138</v>
      </c>
    </row>
    <row r="399" spans="1:16" x14ac:dyDescent="0.3">
      <c r="A399" t="s">
        <v>25</v>
      </c>
      <c r="B399" s="1">
        <v>45583.538518518515</v>
      </c>
      <c r="C399" t="str">
        <f t="shared" si="82"/>
        <v>41</v>
      </c>
      <c r="D399" t="s">
        <v>120</v>
      </c>
      <c r="E399" t="s">
        <v>116</v>
      </c>
      <c r="F399" t="s">
        <v>117</v>
      </c>
      <c r="H399" t="s">
        <v>205</v>
      </c>
      <c r="I399" t="str">
        <f>"101050002025007"</f>
        <v>101050002025007</v>
      </c>
      <c r="J399" t="str">
        <f t="shared" si="83"/>
        <v>515122</v>
      </c>
      <c r="K399" t="s">
        <v>4</v>
      </c>
      <c r="L399">
        <v>49</v>
      </c>
      <c r="M399">
        <v>49</v>
      </c>
      <c r="N399">
        <v>0</v>
      </c>
      <c r="O399" s="1">
        <v>45583.538518518515</v>
      </c>
      <c r="P399" t="s">
        <v>138</v>
      </c>
    </row>
    <row r="400" spans="1:16" x14ac:dyDescent="0.3">
      <c r="A400" t="s">
        <v>25</v>
      </c>
      <c r="B400" s="1">
        <v>45583.538506944446</v>
      </c>
      <c r="C400" t="str">
        <f t="shared" si="82"/>
        <v>41</v>
      </c>
      <c r="D400" t="s">
        <v>120</v>
      </c>
      <c r="E400" t="s">
        <v>116</v>
      </c>
      <c r="F400" t="s">
        <v>117</v>
      </c>
      <c r="H400" t="s">
        <v>205</v>
      </c>
      <c r="I400" t="str">
        <f>"101050002025006"</f>
        <v>101050002025006</v>
      </c>
      <c r="J400" t="str">
        <f t="shared" si="83"/>
        <v>515122</v>
      </c>
      <c r="K400" t="s">
        <v>4</v>
      </c>
      <c r="L400">
        <v>49</v>
      </c>
      <c r="M400">
        <v>49</v>
      </c>
      <c r="N400">
        <v>0</v>
      </c>
      <c r="O400" s="1">
        <v>45583.538506944446</v>
      </c>
      <c r="P400" t="s">
        <v>138</v>
      </c>
    </row>
    <row r="401" spans="1:16" x14ac:dyDescent="0.3">
      <c r="A401" t="s">
        <v>25</v>
      </c>
      <c r="B401" s="1">
        <v>45583.538298611114</v>
      </c>
      <c r="C401" t="str">
        <f>"38"</f>
        <v>38</v>
      </c>
      <c r="D401" t="s">
        <v>115</v>
      </c>
      <c r="E401" t="s">
        <v>116</v>
      </c>
      <c r="F401" t="s">
        <v>117</v>
      </c>
      <c r="H401" t="s">
        <v>206</v>
      </c>
      <c r="L401">
        <v>0</v>
      </c>
      <c r="M401">
        <v>0</v>
      </c>
      <c r="N401">
        <v>0</v>
      </c>
      <c r="O401" s="1">
        <v>45583.538298611114</v>
      </c>
      <c r="P401" t="s">
        <v>119</v>
      </c>
    </row>
    <row r="402" spans="1:16" x14ac:dyDescent="0.3">
      <c r="A402" t="s">
        <v>25</v>
      </c>
      <c r="B402" s="1">
        <v>45583.538298611114</v>
      </c>
      <c r="C402" t="str">
        <f>"41"</f>
        <v>41</v>
      </c>
      <c r="D402" t="s">
        <v>120</v>
      </c>
      <c r="E402" t="s">
        <v>116</v>
      </c>
      <c r="F402" t="s">
        <v>117</v>
      </c>
      <c r="H402" t="s">
        <v>206</v>
      </c>
      <c r="I402" t="str">
        <f>"101050001938663"</f>
        <v>101050001938663</v>
      </c>
      <c r="J402" t="str">
        <f>"125191"</f>
        <v>125191</v>
      </c>
      <c r="K402" t="s">
        <v>41</v>
      </c>
      <c r="L402">
        <v>49</v>
      </c>
      <c r="M402">
        <v>49</v>
      </c>
      <c r="N402">
        <v>0</v>
      </c>
      <c r="O402" s="1">
        <v>45583.538298611114</v>
      </c>
      <c r="P402" t="s">
        <v>119</v>
      </c>
    </row>
    <row r="403" spans="1:16" x14ac:dyDescent="0.3">
      <c r="A403" t="s">
        <v>25</v>
      </c>
      <c r="B403" s="1">
        <v>45583.538287037038</v>
      </c>
      <c r="C403" t="str">
        <f>"41"</f>
        <v>41</v>
      </c>
      <c r="D403" t="s">
        <v>120</v>
      </c>
      <c r="E403" t="s">
        <v>116</v>
      </c>
      <c r="F403" t="s">
        <v>117</v>
      </c>
      <c r="H403" t="s">
        <v>206</v>
      </c>
      <c r="I403" t="str">
        <f>"101050001973957"</f>
        <v>101050001973957</v>
      </c>
      <c r="J403" t="str">
        <f>"125191"</f>
        <v>125191</v>
      </c>
      <c r="K403" t="s">
        <v>41</v>
      </c>
      <c r="L403">
        <v>49</v>
      </c>
      <c r="M403">
        <v>49</v>
      </c>
      <c r="N403">
        <v>0</v>
      </c>
      <c r="O403" s="1">
        <v>45583.538287037038</v>
      </c>
      <c r="P403" t="s">
        <v>119</v>
      </c>
    </row>
    <row r="404" spans="1:16" x14ac:dyDescent="0.3">
      <c r="A404" t="s">
        <v>25</v>
      </c>
      <c r="B404" s="1">
        <v>45583.537557870368</v>
      </c>
      <c r="C404" t="str">
        <f>"38"</f>
        <v>38</v>
      </c>
      <c r="D404" t="s">
        <v>115</v>
      </c>
      <c r="E404" t="s">
        <v>116</v>
      </c>
      <c r="F404" t="s">
        <v>117</v>
      </c>
      <c r="H404" t="s">
        <v>207</v>
      </c>
      <c r="L404">
        <v>0</v>
      </c>
      <c r="M404">
        <v>0</v>
      </c>
      <c r="N404">
        <v>0</v>
      </c>
      <c r="O404" s="1">
        <v>45583.537557870368</v>
      </c>
      <c r="P404" t="s">
        <v>119</v>
      </c>
    </row>
    <row r="405" spans="1:16" x14ac:dyDescent="0.3">
      <c r="A405" t="s">
        <v>25</v>
      </c>
      <c r="B405" s="1">
        <v>45583.537557870368</v>
      </c>
      <c r="C405" t="str">
        <f>"41"</f>
        <v>41</v>
      </c>
      <c r="D405" t="s">
        <v>120</v>
      </c>
      <c r="E405" t="s">
        <v>116</v>
      </c>
      <c r="F405" t="s">
        <v>117</v>
      </c>
      <c r="H405" t="s">
        <v>207</v>
      </c>
      <c r="I405" t="str">
        <f>"101050002025170"</f>
        <v>101050002025170</v>
      </c>
      <c r="J405" t="str">
        <f>"515122"</f>
        <v>515122</v>
      </c>
      <c r="K405" t="s">
        <v>4</v>
      </c>
      <c r="L405">
        <v>49</v>
      </c>
      <c r="M405">
        <v>49</v>
      </c>
      <c r="N405">
        <v>0</v>
      </c>
      <c r="O405" s="1">
        <v>45583.537557870368</v>
      </c>
      <c r="P405" t="s">
        <v>119</v>
      </c>
    </row>
    <row r="406" spans="1:16" x14ac:dyDescent="0.3">
      <c r="A406" t="s">
        <v>25</v>
      </c>
      <c r="B406" s="1">
        <v>45583.537627314814</v>
      </c>
      <c r="C406" t="str">
        <f>"41"</f>
        <v>41</v>
      </c>
      <c r="D406" t="s">
        <v>120</v>
      </c>
      <c r="E406" t="s">
        <v>116</v>
      </c>
      <c r="F406" t="s">
        <v>117</v>
      </c>
      <c r="H406" t="s">
        <v>204</v>
      </c>
      <c r="I406" t="str">
        <f>"101050002023377"</f>
        <v>101050002023377</v>
      </c>
      <c r="J406" t="str">
        <f>"515122"</f>
        <v>515122</v>
      </c>
      <c r="K406" t="s">
        <v>4</v>
      </c>
      <c r="L406">
        <v>49</v>
      </c>
      <c r="M406">
        <v>49</v>
      </c>
      <c r="N406">
        <v>0</v>
      </c>
      <c r="O406" s="1">
        <v>45583.537627314814</v>
      </c>
      <c r="P406" t="s">
        <v>122</v>
      </c>
    </row>
    <row r="407" spans="1:16" x14ac:dyDescent="0.3">
      <c r="A407" t="s">
        <v>25</v>
      </c>
      <c r="B407" s="1">
        <v>45583.537615740737</v>
      </c>
      <c r="C407" t="str">
        <f>"41"</f>
        <v>41</v>
      </c>
      <c r="D407" t="s">
        <v>120</v>
      </c>
      <c r="E407" t="s">
        <v>116</v>
      </c>
      <c r="F407" t="s">
        <v>117</v>
      </c>
      <c r="H407" t="s">
        <v>204</v>
      </c>
      <c r="I407" t="str">
        <f>"101050002023271"</f>
        <v>101050002023271</v>
      </c>
      <c r="J407" t="str">
        <f>"515122"</f>
        <v>515122</v>
      </c>
      <c r="K407" t="s">
        <v>4</v>
      </c>
      <c r="L407">
        <v>49</v>
      </c>
      <c r="M407">
        <v>49</v>
      </c>
      <c r="N407">
        <v>0</v>
      </c>
      <c r="O407" s="1">
        <v>45583.537615740737</v>
      </c>
      <c r="P407" t="s">
        <v>122</v>
      </c>
    </row>
    <row r="408" spans="1:16" x14ac:dyDescent="0.3">
      <c r="A408" t="s">
        <v>25</v>
      </c>
      <c r="B408" s="1">
        <v>45583.537615740737</v>
      </c>
      <c r="C408" t="str">
        <f>"41"</f>
        <v>41</v>
      </c>
      <c r="D408" t="s">
        <v>120</v>
      </c>
      <c r="E408" t="s">
        <v>116</v>
      </c>
      <c r="F408" t="s">
        <v>117</v>
      </c>
      <c r="H408" t="s">
        <v>204</v>
      </c>
      <c r="I408" t="str">
        <f>"101050002022931"</f>
        <v>101050002022931</v>
      </c>
      <c r="J408" t="str">
        <f>"515122"</f>
        <v>515122</v>
      </c>
      <c r="K408" t="s">
        <v>4</v>
      </c>
      <c r="L408">
        <v>49</v>
      </c>
      <c r="M408">
        <v>49</v>
      </c>
      <c r="N408">
        <v>0</v>
      </c>
      <c r="O408" s="1">
        <v>45583.537615740737</v>
      </c>
      <c r="P408" t="s">
        <v>122</v>
      </c>
    </row>
    <row r="409" spans="1:16" x14ac:dyDescent="0.3">
      <c r="A409" t="s">
        <v>25</v>
      </c>
      <c r="B409" s="1">
        <v>45583.536608796298</v>
      </c>
      <c r="C409" t="str">
        <f>"38"</f>
        <v>38</v>
      </c>
      <c r="D409" t="s">
        <v>115</v>
      </c>
      <c r="E409" t="s">
        <v>116</v>
      </c>
      <c r="F409" t="s">
        <v>117</v>
      </c>
      <c r="H409" t="s">
        <v>208</v>
      </c>
      <c r="L409">
        <v>0</v>
      </c>
      <c r="M409">
        <v>0</v>
      </c>
      <c r="N409">
        <v>0</v>
      </c>
      <c r="O409" s="1">
        <v>45583.536608796298</v>
      </c>
      <c r="P409" t="s">
        <v>138</v>
      </c>
    </row>
    <row r="410" spans="1:16" x14ac:dyDescent="0.3">
      <c r="A410" t="s">
        <v>25</v>
      </c>
      <c r="B410" s="1">
        <v>45583.536608796298</v>
      </c>
      <c r="C410" t="str">
        <f>"41"</f>
        <v>41</v>
      </c>
      <c r="D410" t="s">
        <v>120</v>
      </c>
      <c r="E410" t="s">
        <v>116</v>
      </c>
      <c r="F410" t="s">
        <v>117</v>
      </c>
      <c r="H410" t="s">
        <v>208</v>
      </c>
      <c r="I410" t="str">
        <f>"101050001976220"</f>
        <v>101050001976220</v>
      </c>
      <c r="J410" t="str">
        <f>"126475"</f>
        <v>126475</v>
      </c>
      <c r="K410" t="s">
        <v>22</v>
      </c>
      <c r="L410">
        <v>49</v>
      </c>
      <c r="M410">
        <v>49</v>
      </c>
      <c r="N410">
        <v>0</v>
      </c>
      <c r="O410" s="1">
        <v>45583.536608796298</v>
      </c>
      <c r="P410" t="s">
        <v>138</v>
      </c>
    </row>
    <row r="411" spans="1:16" x14ac:dyDescent="0.3">
      <c r="A411" t="s">
        <v>25</v>
      </c>
      <c r="B411" s="1">
        <v>45583.536608796298</v>
      </c>
      <c r="C411" t="str">
        <f>"41"</f>
        <v>41</v>
      </c>
      <c r="D411" t="s">
        <v>120</v>
      </c>
      <c r="E411" t="s">
        <v>116</v>
      </c>
      <c r="F411" t="s">
        <v>117</v>
      </c>
      <c r="H411" t="s">
        <v>208</v>
      </c>
      <c r="I411" t="str">
        <f>"101050001976493"</f>
        <v>101050001976493</v>
      </c>
      <c r="J411" t="str">
        <f>"126475"</f>
        <v>126475</v>
      </c>
      <c r="K411" t="s">
        <v>22</v>
      </c>
      <c r="L411">
        <v>49</v>
      </c>
      <c r="M411">
        <v>49</v>
      </c>
      <c r="N411">
        <v>0</v>
      </c>
      <c r="O411" s="1">
        <v>45583.536608796298</v>
      </c>
      <c r="P411" t="s">
        <v>138</v>
      </c>
    </row>
    <row r="412" spans="1:16" x14ac:dyDescent="0.3">
      <c r="A412" t="s">
        <v>25</v>
      </c>
      <c r="B412" s="1">
        <v>45583.536608796298</v>
      </c>
      <c r="C412" t="str">
        <f>"41"</f>
        <v>41</v>
      </c>
      <c r="D412" t="s">
        <v>120</v>
      </c>
      <c r="E412" t="s">
        <v>116</v>
      </c>
      <c r="F412" t="s">
        <v>117</v>
      </c>
      <c r="H412" t="s">
        <v>208</v>
      </c>
      <c r="I412" t="str">
        <f>"101050001976350"</f>
        <v>101050001976350</v>
      </c>
      <c r="J412" t="str">
        <f>"126475"</f>
        <v>126475</v>
      </c>
      <c r="K412" t="s">
        <v>22</v>
      </c>
      <c r="L412">
        <v>49</v>
      </c>
      <c r="M412">
        <v>49</v>
      </c>
      <c r="N412">
        <v>0</v>
      </c>
      <c r="O412" s="1">
        <v>45583.536608796298</v>
      </c>
      <c r="P412" t="s">
        <v>138</v>
      </c>
    </row>
    <row r="413" spans="1:16" x14ac:dyDescent="0.3">
      <c r="A413" t="s">
        <v>25</v>
      </c>
      <c r="B413" s="1">
        <v>45583.536608796298</v>
      </c>
      <c r="C413" t="str">
        <f>"41"</f>
        <v>41</v>
      </c>
      <c r="D413" t="s">
        <v>120</v>
      </c>
      <c r="E413" t="s">
        <v>116</v>
      </c>
      <c r="F413" t="s">
        <v>117</v>
      </c>
      <c r="H413" t="s">
        <v>208</v>
      </c>
      <c r="I413" t="str">
        <f>"101050001977082"</f>
        <v>101050001977082</v>
      </c>
      <c r="J413" t="str">
        <f>"126475"</f>
        <v>126475</v>
      </c>
      <c r="K413" t="s">
        <v>22</v>
      </c>
      <c r="L413">
        <v>49</v>
      </c>
      <c r="M413">
        <v>49</v>
      </c>
      <c r="N413">
        <v>0</v>
      </c>
      <c r="O413" s="1">
        <v>45583.536608796298</v>
      </c>
      <c r="P413" t="s">
        <v>138</v>
      </c>
    </row>
    <row r="414" spans="1:16" x14ac:dyDescent="0.3">
      <c r="A414" t="s">
        <v>25</v>
      </c>
      <c r="B414" s="1">
        <v>45583.536597222221</v>
      </c>
      <c r="C414" t="str">
        <f>"41"</f>
        <v>41</v>
      </c>
      <c r="D414" t="s">
        <v>120</v>
      </c>
      <c r="E414" t="s">
        <v>116</v>
      </c>
      <c r="F414" t="s">
        <v>117</v>
      </c>
      <c r="H414" t="s">
        <v>208</v>
      </c>
      <c r="I414" t="str">
        <f>"101050001977081"</f>
        <v>101050001977081</v>
      </c>
      <c r="J414" t="str">
        <f>"126475"</f>
        <v>126475</v>
      </c>
      <c r="K414" t="s">
        <v>22</v>
      </c>
      <c r="L414">
        <v>49</v>
      </c>
      <c r="M414">
        <v>49</v>
      </c>
      <c r="N414">
        <v>0</v>
      </c>
      <c r="O414" s="1">
        <v>45583.536597222221</v>
      </c>
      <c r="P414" t="s">
        <v>138</v>
      </c>
    </row>
    <row r="415" spans="1:16" x14ac:dyDescent="0.3">
      <c r="A415" t="s">
        <v>25</v>
      </c>
      <c r="B415" s="1">
        <v>45583.534444444442</v>
      </c>
      <c r="C415" t="str">
        <f>"38"</f>
        <v>38</v>
      </c>
      <c r="D415" t="s">
        <v>115</v>
      </c>
      <c r="E415" t="s">
        <v>116</v>
      </c>
      <c r="F415" t="s">
        <v>117</v>
      </c>
      <c r="H415" t="s">
        <v>207</v>
      </c>
      <c r="L415">
        <v>0</v>
      </c>
      <c r="M415">
        <v>0</v>
      </c>
      <c r="N415">
        <v>0</v>
      </c>
      <c r="O415" s="1">
        <v>45583.534444444442</v>
      </c>
      <c r="P415" t="s">
        <v>119</v>
      </c>
    </row>
    <row r="416" spans="1:16" x14ac:dyDescent="0.3">
      <c r="A416" t="s">
        <v>25</v>
      </c>
      <c r="B416" s="1">
        <v>45583.528287037036</v>
      </c>
      <c r="C416" t="str">
        <f>"38"</f>
        <v>38</v>
      </c>
      <c r="D416" t="s">
        <v>115</v>
      </c>
      <c r="E416" t="s">
        <v>116</v>
      </c>
      <c r="F416" t="s">
        <v>117</v>
      </c>
      <c r="H416" t="s">
        <v>209</v>
      </c>
      <c r="L416">
        <v>0</v>
      </c>
      <c r="M416">
        <v>0</v>
      </c>
      <c r="N416">
        <v>0</v>
      </c>
      <c r="O416" s="1">
        <v>45583.528287037036</v>
      </c>
      <c r="P416" t="s">
        <v>122</v>
      </c>
    </row>
    <row r="417" spans="1:16" x14ac:dyDescent="0.3">
      <c r="A417" t="s">
        <v>25</v>
      </c>
      <c r="B417" s="1">
        <v>45583.528287037036</v>
      </c>
      <c r="C417" t="str">
        <f>"41"</f>
        <v>41</v>
      </c>
      <c r="D417" t="s">
        <v>120</v>
      </c>
      <c r="E417" t="s">
        <v>116</v>
      </c>
      <c r="F417" t="s">
        <v>117</v>
      </c>
      <c r="H417" t="s">
        <v>209</v>
      </c>
      <c r="I417" t="str">
        <f>"101050002025418"</f>
        <v>101050002025418</v>
      </c>
      <c r="J417" t="str">
        <f>"127802"</f>
        <v>127802</v>
      </c>
      <c r="K417" t="s">
        <v>6</v>
      </c>
      <c r="L417">
        <v>91</v>
      </c>
      <c r="M417">
        <v>91</v>
      </c>
      <c r="N417">
        <v>0</v>
      </c>
      <c r="O417" s="1">
        <v>45583.528287037036</v>
      </c>
      <c r="P417" t="s">
        <v>122</v>
      </c>
    </row>
    <row r="418" spans="1:16" x14ac:dyDescent="0.3">
      <c r="A418" t="s">
        <v>25</v>
      </c>
      <c r="B418" s="1">
        <v>45583.528287037036</v>
      </c>
      <c r="C418" t="str">
        <f>"41"</f>
        <v>41</v>
      </c>
      <c r="D418" t="s">
        <v>120</v>
      </c>
      <c r="E418" t="s">
        <v>116</v>
      </c>
      <c r="F418" t="s">
        <v>117</v>
      </c>
      <c r="H418" t="s">
        <v>209</v>
      </c>
      <c r="I418" t="str">
        <f>"101050002025251"</f>
        <v>101050002025251</v>
      </c>
      <c r="J418" t="str">
        <f>"127802"</f>
        <v>127802</v>
      </c>
      <c r="K418" t="s">
        <v>6</v>
      </c>
      <c r="L418">
        <v>91</v>
      </c>
      <c r="M418">
        <v>91</v>
      </c>
      <c r="N418">
        <v>0</v>
      </c>
      <c r="O418" s="1">
        <v>45583.528287037036</v>
      </c>
      <c r="P418" t="s">
        <v>122</v>
      </c>
    </row>
    <row r="419" spans="1:16" x14ac:dyDescent="0.3">
      <c r="A419" t="s">
        <v>25</v>
      </c>
      <c r="B419" s="1">
        <v>45583.528287037036</v>
      </c>
      <c r="C419" t="str">
        <f>"41"</f>
        <v>41</v>
      </c>
      <c r="D419" t="s">
        <v>120</v>
      </c>
      <c r="E419" t="s">
        <v>116</v>
      </c>
      <c r="F419" t="s">
        <v>117</v>
      </c>
      <c r="H419" t="s">
        <v>209</v>
      </c>
      <c r="I419" t="str">
        <f>"101050002025032"</f>
        <v>101050002025032</v>
      </c>
      <c r="J419" t="str">
        <f>"127802"</f>
        <v>127802</v>
      </c>
      <c r="K419" t="s">
        <v>6</v>
      </c>
      <c r="L419">
        <v>91</v>
      </c>
      <c r="M419">
        <v>91</v>
      </c>
      <c r="N419">
        <v>0</v>
      </c>
      <c r="O419" s="1">
        <v>45583.528287037036</v>
      </c>
      <c r="P419" t="s">
        <v>122</v>
      </c>
    </row>
    <row r="420" spans="1:16" x14ac:dyDescent="0.3">
      <c r="A420" t="s">
        <v>25</v>
      </c>
      <c r="B420" s="1">
        <v>45583.527615740742</v>
      </c>
      <c r="C420" t="str">
        <f>"38"</f>
        <v>38</v>
      </c>
      <c r="D420" t="s">
        <v>115</v>
      </c>
      <c r="E420" t="s">
        <v>116</v>
      </c>
      <c r="F420" t="s">
        <v>117</v>
      </c>
      <c r="H420" t="s">
        <v>210</v>
      </c>
      <c r="L420">
        <v>0</v>
      </c>
      <c r="M420">
        <v>0</v>
      </c>
      <c r="N420">
        <v>0</v>
      </c>
      <c r="O420" s="1">
        <v>45583.527615740742</v>
      </c>
      <c r="P420" t="s">
        <v>122</v>
      </c>
    </row>
    <row r="421" spans="1:16" x14ac:dyDescent="0.3">
      <c r="A421" t="s">
        <v>25</v>
      </c>
      <c r="B421" s="1">
        <v>45583.527615740742</v>
      </c>
      <c r="C421" t="str">
        <f t="shared" ref="C421:C427" si="84">"41"</f>
        <v>41</v>
      </c>
      <c r="D421" t="s">
        <v>120</v>
      </c>
      <c r="E421" t="s">
        <v>116</v>
      </c>
      <c r="F421" t="s">
        <v>117</v>
      </c>
      <c r="H421" t="s">
        <v>210</v>
      </c>
      <c r="I421" t="str">
        <f>"101050002024188"</f>
        <v>101050002024188</v>
      </c>
      <c r="J421" t="str">
        <f t="shared" ref="J421:J427" si="85">"515122"</f>
        <v>515122</v>
      </c>
      <c r="K421" t="s">
        <v>4</v>
      </c>
      <c r="L421">
        <v>49</v>
      </c>
      <c r="M421">
        <v>49</v>
      </c>
      <c r="N421">
        <v>0</v>
      </c>
      <c r="O421" s="1">
        <v>45583.527615740742</v>
      </c>
      <c r="P421" t="s">
        <v>122</v>
      </c>
    </row>
    <row r="422" spans="1:16" x14ac:dyDescent="0.3">
      <c r="A422" t="s">
        <v>25</v>
      </c>
      <c r="B422" s="1">
        <v>45583.527615740742</v>
      </c>
      <c r="C422" t="str">
        <f t="shared" si="84"/>
        <v>41</v>
      </c>
      <c r="D422" t="s">
        <v>120</v>
      </c>
      <c r="E422" t="s">
        <v>116</v>
      </c>
      <c r="F422" t="s">
        <v>117</v>
      </c>
      <c r="H422" t="s">
        <v>210</v>
      </c>
      <c r="I422" t="str">
        <f>"101050002024034"</f>
        <v>101050002024034</v>
      </c>
      <c r="J422" t="str">
        <f t="shared" si="85"/>
        <v>515122</v>
      </c>
      <c r="K422" t="s">
        <v>4</v>
      </c>
      <c r="L422">
        <v>49</v>
      </c>
      <c r="M422">
        <v>49</v>
      </c>
      <c r="N422">
        <v>0</v>
      </c>
      <c r="O422" s="1">
        <v>45583.527615740742</v>
      </c>
      <c r="P422" t="s">
        <v>122</v>
      </c>
    </row>
    <row r="423" spans="1:16" x14ac:dyDescent="0.3">
      <c r="A423" t="s">
        <v>25</v>
      </c>
      <c r="B423" s="1">
        <v>45583.527615740742</v>
      </c>
      <c r="C423" t="str">
        <f t="shared" si="84"/>
        <v>41</v>
      </c>
      <c r="D423" t="s">
        <v>120</v>
      </c>
      <c r="E423" t="s">
        <v>116</v>
      </c>
      <c r="F423" t="s">
        <v>117</v>
      </c>
      <c r="H423" t="s">
        <v>210</v>
      </c>
      <c r="I423" t="str">
        <f>"101050002023902"</f>
        <v>101050002023902</v>
      </c>
      <c r="J423" t="str">
        <f t="shared" si="85"/>
        <v>515122</v>
      </c>
      <c r="K423" t="s">
        <v>4</v>
      </c>
      <c r="L423">
        <v>49</v>
      </c>
      <c r="M423">
        <v>49</v>
      </c>
      <c r="N423">
        <v>0</v>
      </c>
      <c r="O423" s="1">
        <v>45583.527615740742</v>
      </c>
      <c r="P423" t="s">
        <v>122</v>
      </c>
    </row>
    <row r="424" spans="1:16" x14ac:dyDescent="0.3">
      <c r="A424" t="s">
        <v>25</v>
      </c>
      <c r="B424" s="1">
        <v>45583.527604166666</v>
      </c>
      <c r="C424" t="str">
        <f t="shared" si="84"/>
        <v>41</v>
      </c>
      <c r="D424" t="s">
        <v>120</v>
      </c>
      <c r="E424" t="s">
        <v>116</v>
      </c>
      <c r="F424" t="s">
        <v>117</v>
      </c>
      <c r="H424" t="s">
        <v>210</v>
      </c>
      <c r="I424" t="str">
        <f>"101050002023869"</f>
        <v>101050002023869</v>
      </c>
      <c r="J424" t="str">
        <f t="shared" si="85"/>
        <v>515122</v>
      </c>
      <c r="K424" t="s">
        <v>4</v>
      </c>
      <c r="L424">
        <v>49</v>
      </c>
      <c r="M424">
        <v>49</v>
      </c>
      <c r="N424">
        <v>0</v>
      </c>
      <c r="O424" s="1">
        <v>45583.527604166666</v>
      </c>
      <c r="P424" t="s">
        <v>122</v>
      </c>
    </row>
    <row r="425" spans="1:16" x14ac:dyDescent="0.3">
      <c r="A425" t="s">
        <v>25</v>
      </c>
      <c r="B425" s="1">
        <v>45583.527604166666</v>
      </c>
      <c r="C425" t="str">
        <f t="shared" si="84"/>
        <v>41</v>
      </c>
      <c r="D425" t="s">
        <v>120</v>
      </c>
      <c r="E425" t="s">
        <v>116</v>
      </c>
      <c r="F425" t="s">
        <v>117</v>
      </c>
      <c r="H425" t="s">
        <v>210</v>
      </c>
      <c r="I425" t="str">
        <f>"101050002023517"</f>
        <v>101050002023517</v>
      </c>
      <c r="J425" t="str">
        <f t="shared" si="85"/>
        <v>515122</v>
      </c>
      <c r="K425" t="s">
        <v>4</v>
      </c>
      <c r="L425">
        <v>49</v>
      </c>
      <c r="M425">
        <v>49</v>
      </c>
      <c r="N425">
        <v>0</v>
      </c>
      <c r="O425" s="1">
        <v>45583.527604166666</v>
      </c>
      <c r="P425" t="s">
        <v>122</v>
      </c>
    </row>
    <row r="426" spans="1:16" x14ac:dyDescent="0.3">
      <c r="A426" t="s">
        <v>25</v>
      </c>
      <c r="B426" s="1">
        <v>45583.527604166666</v>
      </c>
      <c r="C426" t="str">
        <f t="shared" si="84"/>
        <v>41</v>
      </c>
      <c r="D426" t="s">
        <v>120</v>
      </c>
      <c r="E426" t="s">
        <v>116</v>
      </c>
      <c r="F426" t="s">
        <v>117</v>
      </c>
      <c r="H426" t="s">
        <v>210</v>
      </c>
      <c r="I426" t="str">
        <f>"101050002023516"</f>
        <v>101050002023516</v>
      </c>
      <c r="J426" t="str">
        <f t="shared" si="85"/>
        <v>515122</v>
      </c>
      <c r="K426" t="s">
        <v>4</v>
      </c>
      <c r="L426">
        <v>49</v>
      </c>
      <c r="M426">
        <v>49</v>
      </c>
      <c r="N426">
        <v>0</v>
      </c>
      <c r="O426" s="1">
        <v>45583.527604166666</v>
      </c>
      <c r="P426" t="s">
        <v>122</v>
      </c>
    </row>
    <row r="427" spans="1:16" x14ac:dyDescent="0.3">
      <c r="A427" t="s">
        <v>25</v>
      </c>
      <c r="B427" s="1">
        <v>45583.527604166666</v>
      </c>
      <c r="C427" t="str">
        <f t="shared" si="84"/>
        <v>41</v>
      </c>
      <c r="D427" t="s">
        <v>120</v>
      </c>
      <c r="E427" t="s">
        <v>116</v>
      </c>
      <c r="F427" t="s">
        <v>117</v>
      </c>
      <c r="H427" t="s">
        <v>210</v>
      </c>
      <c r="I427" t="str">
        <f>"101050002023422"</f>
        <v>101050002023422</v>
      </c>
      <c r="J427" t="str">
        <f t="shared" si="85"/>
        <v>515122</v>
      </c>
      <c r="K427" t="s">
        <v>4</v>
      </c>
      <c r="L427">
        <v>49</v>
      </c>
      <c r="M427">
        <v>49</v>
      </c>
      <c r="N427">
        <v>0</v>
      </c>
      <c r="O427" s="1">
        <v>45583.527604166666</v>
      </c>
      <c r="P427" t="s">
        <v>122</v>
      </c>
    </row>
    <row r="428" spans="1:16" x14ac:dyDescent="0.3">
      <c r="A428" t="s">
        <v>25</v>
      </c>
      <c r="B428" s="1">
        <v>45583.526099537034</v>
      </c>
      <c r="C428" t="str">
        <f>"38"</f>
        <v>38</v>
      </c>
      <c r="D428" t="s">
        <v>115</v>
      </c>
      <c r="E428" t="s">
        <v>116</v>
      </c>
      <c r="F428" t="s">
        <v>117</v>
      </c>
      <c r="H428" t="s">
        <v>211</v>
      </c>
      <c r="L428">
        <v>0</v>
      </c>
      <c r="M428">
        <v>0</v>
      </c>
      <c r="N428">
        <v>0</v>
      </c>
      <c r="O428" s="1">
        <v>45583.526099537034</v>
      </c>
      <c r="P428" t="s">
        <v>122</v>
      </c>
    </row>
    <row r="429" spans="1:16" x14ac:dyDescent="0.3">
      <c r="A429" t="s">
        <v>25</v>
      </c>
      <c r="B429" s="1">
        <v>45583.526099537034</v>
      </c>
      <c r="C429" t="str">
        <f t="shared" ref="C429:C435" si="86">"41"</f>
        <v>41</v>
      </c>
      <c r="D429" t="s">
        <v>120</v>
      </c>
      <c r="E429" t="s">
        <v>116</v>
      </c>
      <c r="F429" t="s">
        <v>117</v>
      </c>
      <c r="H429" t="s">
        <v>211</v>
      </c>
      <c r="I429" t="str">
        <f>"101050002027306"</f>
        <v>101050002027306</v>
      </c>
      <c r="J429" t="str">
        <f t="shared" ref="J429:J435" si="87">"515120"</f>
        <v>515120</v>
      </c>
      <c r="K429" t="s">
        <v>2</v>
      </c>
      <c r="L429">
        <v>49</v>
      </c>
      <c r="M429">
        <v>49</v>
      </c>
      <c r="N429">
        <v>0</v>
      </c>
      <c r="O429" s="1">
        <v>45583.526099537034</v>
      </c>
      <c r="P429" t="s">
        <v>122</v>
      </c>
    </row>
    <row r="430" spans="1:16" x14ac:dyDescent="0.3">
      <c r="A430" t="s">
        <v>25</v>
      </c>
      <c r="B430" s="1">
        <v>45583.526099537034</v>
      </c>
      <c r="C430" t="str">
        <f t="shared" si="86"/>
        <v>41</v>
      </c>
      <c r="D430" t="s">
        <v>120</v>
      </c>
      <c r="E430" t="s">
        <v>116</v>
      </c>
      <c r="F430" t="s">
        <v>117</v>
      </c>
      <c r="H430" t="s">
        <v>211</v>
      </c>
      <c r="I430" t="str">
        <f>"101050002027221"</f>
        <v>101050002027221</v>
      </c>
      <c r="J430" t="str">
        <f t="shared" si="87"/>
        <v>515120</v>
      </c>
      <c r="K430" t="s">
        <v>2</v>
      </c>
      <c r="L430">
        <v>49</v>
      </c>
      <c r="M430">
        <v>49</v>
      </c>
      <c r="N430">
        <v>0</v>
      </c>
      <c r="O430" s="1">
        <v>45583.526099537034</v>
      </c>
      <c r="P430" t="s">
        <v>122</v>
      </c>
    </row>
    <row r="431" spans="1:16" x14ac:dyDescent="0.3">
      <c r="A431" t="s">
        <v>25</v>
      </c>
      <c r="B431" s="1">
        <v>45583.526099537034</v>
      </c>
      <c r="C431" t="str">
        <f t="shared" si="86"/>
        <v>41</v>
      </c>
      <c r="D431" t="s">
        <v>120</v>
      </c>
      <c r="E431" t="s">
        <v>116</v>
      </c>
      <c r="F431" t="s">
        <v>117</v>
      </c>
      <c r="H431" t="s">
        <v>211</v>
      </c>
      <c r="I431" t="str">
        <f>"101050002027220"</f>
        <v>101050002027220</v>
      </c>
      <c r="J431" t="str">
        <f t="shared" si="87"/>
        <v>515120</v>
      </c>
      <c r="K431" t="s">
        <v>2</v>
      </c>
      <c r="L431">
        <v>49</v>
      </c>
      <c r="M431">
        <v>49</v>
      </c>
      <c r="N431">
        <v>0</v>
      </c>
      <c r="O431" s="1">
        <v>45583.526099537034</v>
      </c>
      <c r="P431" t="s">
        <v>122</v>
      </c>
    </row>
    <row r="432" spans="1:16" x14ac:dyDescent="0.3">
      <c r="A432" t="s">
        <v>25</v>
      </c>
      <c r="B432" s="1">
        <v>45583.526099537034</v>
      </c>
      <c r="C432" t="str">
        <f t="shared" si="86"/>
        <v>41</v>
      </c>
      <c r="D432" t="s">
        <v>120</v>
      </c>
      <c r="E432" t="s">
        <v>116</v>
      </c>
      <c r="F432" t="s">
        <v>117</v>
      </c>
      <c r="H432" t="s">
        <v>211</v>
      </c>
      <c r="I432" t="str">
        <f>"101050002027218"</f>
        <v>101050002027218</v>
      </c>
      <c r="J432" t="str">
        <f t="shared" si="87"/>
        <v>515120</v>
      </c>
      <c r="K432" t="s">
        <v>2</v>
      </c>
      <c r="L432">
        <v>49</v>
      </c>
      <c r="M432">
        <v>49</v>
      </c>
      <c r="N432">
        <v>0</v>
      </c>
      <c r="O432" s="1">
        <v>45583.526099537034</v>
      </c>
      <c r="P432" t="s">
        <v>122</v>
      </c>
    </row>
    <row r="433" spans="1:16" x14ac:dyDescent="0.3">
      <c r="A433" t="s">
        <v>25</v>
      </c>
      <c r="B433" s="1">
        <v>45583.526087962964</v>
      </c>
      <c r="C433" t="str">
        <f t="shared" si="86"/>
        <v>41</v>
      </c>
      <c r="D433" t="s">
        <v>120</v>
      </c>
      <c r="E433" t="s">
        <v>116</v>
      </c>
      <c r="F433" t="s">
        <v>117</v>
      </c>
      <c r="H433" t="s">
        <v>211</v>
      </c>
      <c r="I433" t="str">
        <f>"101050002027109"</f>
        <v>101050002027109</v>
      </c>
      <c r="J433" t="str">
        <f t="shared" si="87"/>
        <v>515120</v>
      </c>
      <c r="K433" t="s">
        <v>2</v>
      </c>
      <c r="L433">
        <v>49</v>
      </c>
      <c r="M433">
        <v>49</v>
      </c>
      <c r="N433">
        <v>0</v>
      </c>
      <c r="O433" s="1">
        <v>45583.526087962964</v>
      </c>
      <c r="P433" t="s">
        <v>122</v>
      </c>
    </row>
    <row r="434" spans="1:16" x14ac:dyDescent="0.3">
      <c r="A434" t="s">
        <v>25</v>
      </c>
      <c r="B434" s="1">
        <v>45583.526087962964</v>
      </c>
      <c r="C434" t="str">
        <f t="shared" si="86"/>
        <v>41</v>
      </c>
      <c r="D434" t="s">
        <v>120</v>
      </c>
      <c r="E434" t="s">
        <v>116</v>
      </c>
      <c r="F434" t="s">
        <v>117</v>
      </c>
      <c r="H434" t="s">
        <v>211</v>
      </c>
      <c r="I434" t="str">
        <f>"101050002027028"</f>
        <v>101050002027028</v>
      </c>
      <c r="J434" t="str">
        <f t="shared" si="87"/>
        <v>515120</v>
      </c>
      <c r="K434" t="s">
        <v>2</v>
      </c>
      <c r="L434">
        <v>49</v>
      </c>
      <c r="M434">
        <v>49</v>
      </c>
      <c r="N434">
        <v>0</v>
      </c>
      <c r="O434" s="1">
        <v>45583.526087962964</v>
      </c>
      <c r="P434" t="s">
        <v>122</v>
      </c>
    </row>
    <row r="435" spans="1:16" x14ac:dyDescent="0.3">
      <c r="A435" t="s">
        <v>25</v>
      </c>
      <c r="B435" s="1">
        <v>45583.526087962964</v>
      </c>
      <c r="C435" t="str">
        <f t="shared" si="86"/>
        <v>41</v>
      </c>
      <c r="D435" t="s">
        <v>120</v>
      </c>
      <c r="E435" t="s">
        <v>116</v>
      </c>
      <c r="F435" t="s">
        <v>117</v>
      </c>
      <c r="H435" t="s">
        <v>211</v>
      </c>
      <c r="I435" t="str">
        <f>"101050002026018"</f>
        <v>101050002026018</v>
      </c>
      <c r="J435" t="str">
        <f t="shared" si="87"/>
        <v>515120</v>
      </c>
      <c r="K435" t="s">
        <v>2</v>
      </c>
      <c r="L435">
        <v>49</v>
      </c>
      <c r="M435">
        <v>49</v>
      </c>
      <c r="N435">
        <v>0</v>
      </c>
      <c r="O435" s="1">
        <v>45583.526087962964</v>
      </c>
      <c r="P435" t="s">
        <v>122</v>
      </c>
    </row>
    <row r="436" spans="1:16" x14ac:dyDescent="0.3">
      <c r="A436" t="s">
        <v>25</v>
      </c>
      <c r="B436" s="1">
        <v>45583.524687500001</v>
      </c>
      <c r="C436" t="str">
        <f>"38"</f>
        <v>38</v>
      </c>
      <c r="D436" t="s">
        <v>115</v>
      </c>
      <c r="E436" t="s">
        <v>116</v>
      </c>
      <c r="F436" t="s">
        <v>117</v>
      </c>
      <c r="H436" t="s">
        <v>209</v>
      </c>
      <c r="L436">
        <v>0</v>
      </c>
      <c r="M436">
        <v>0</v>
      </c>
      <c r="N436">
        <v>0</v>
      </c>
      <c r="O436" s="1">
        <v>45583.524687500001</v>
      </c>
      <c r="P436" t="s">
        <v>125</v>
      </c>
    </row>
    <row r="437" spans="1:16" x14ac:dyDescent="0.3">
      <c r="A437" t="s">
        <v>25</v>
      </c>
      <c r="B437" s="1">
        <v>45583.524675925924</v>
      </c>
      <c r="C437" t="str">
        <f>"41"</f>
        <v>41</v>
      </c>
      <c r="D437" t="s">
        <v>120</v>
      </c>
      <c r="E437" t="s">
        <v>116</v>
      </c>
      <c r="F437" t="s">
        <v>117</v>
      </c>
      <c r="H437" t="s">
        <v>209</v>
      </c>
      <c r="I437" t="str">
        <f>"101050002025251"</f>
        <v>101050002025251</v>
      </c>
      <c r="J437" t="str">
        <f>"127802"</f>
        <v>127802</v>
      </c>
      <c r="K437" t="s">
        <v>6</v>
      </c>
      <c r="L437">
        <v>91</v>
      </c>
      <c r="M437">
        <v>91</v>
      </c>
      <c r="N437">
        <v>0</v>
      </c>
      <c r="O437" s="1">
        <v>45583.524675925924</v>
      </c>
      <c r="P437" t="s">
        <v>125</v>
      </c>
    </row>
    <row r="438" spans="1:16" x14ac:dyDescent="0.3">
      <c r="A438" t="s">
        <v>25</v>
      </c>
      <c r="B438" s="1">
        <v>45583.524675925924</v>
      </c>
      <c r="C438" t="str">
        <f>"41"</f>
        <v>41</v>
      </c>
      <c r="D438" t="s">
        <v>120</v>
      </c>
      <c r="E438" t="s">
        <v>116</v>
      </c>
      <c r="F438" t="s">
        <v>117</v>
      </c>
      <c r="H438" t="s">
        <v>209</v>
      </c>
      <c r="I438" t="str">
        <f>"101050002025032"</f>
        <v>101050002025032</v>
      </c>
      <c r="J438" t="str">
        <f>"127802"</f>
        <v>127802</v>
      </c>
      <c r="K438" t="s">
        <v>6</v>
      </c>
      <c r="L438">
        <v>91</v>
      </c>
      <c r="M438">
        <v>91</v>
      </c>
      <c r="N438">
        <v>0</v>
      </c>
      <c r="O438" s="1">
        <v>45583.524675925924</v>
      </c>
      <c r="P438" t="s">
        <v>125</v>
      </c>
    </row>
    <row r="439" spans="1:16" x14ac:dyDescent="0.3">
      <c r="A439" t="s">
        <v>25</v>
      </c>
      <c r="B439" s="1">
        <v>45583.524675925924</v>
      </c>
      <c r="C439" t="str">
        <f>"41"</f>
        <v>41</v>
      </c>
      <c r="D439" t="s">
        <v>120</v>
      </c>
      <c r="E439" t="s">
        <v>116</v>
      </c>
      <c r="F439" t="s">
        <v>117</v>
      </c>
      <c r="H439" t="s">
        <v>209</v>
      </c>
      <c r="I439" t="str">
        <f>"101050002025418"</f>
        <v>101050002025418</v>
      </c>
      <c r="J439" t="str">
        <f>"127802"</f>
        <v>127802</v>
      </c>
      <c r="K439" t="s">
        <v>6</v>
      </c>
      <c r="L439">
        <v>91</v>
      </c>
      <c r="M439">
        <v>91</v>
      </c>
      <c r="N439">
        <v>0</v>
      </c>
      <c r="O439" s="1">
        <v>45583.524675925924</v>
      </c>
      <c r="P439" t="s">
        <v>125</v>
      </c>
    </row>
    <row r="440" spans="1:16" x14ac:dyDescent="0.3">
      <c r="A440" t="s">
        <v>25</v>
      </c>
      <c r="B440" s="1">
        <v>45583.52244212963</v>
      </c>
      <c r="C440" t="str">
        <f>"38"</f>
        <v>38</v>
      </c>
      <c r="D440" t="s">
        <v>115</v>
      </c>
      <c r="E440" t="s">
        <v>116</v>
      </c>
      <c r="F440" t="s">
        <v>117</v>
      </c>
      <c r="H440" t="s">
        <v>212</v>
      </c>
      <c r="L440">
        <v>0</v>
      </c>
      <c r="M440">
        <v>0</v>
      </c>
      <c r="N440">
        <v>0</v>
      </c>
      <c r="O440" s="1">
        <v>45583.52244212963</v>
      </c>
      <c r="P440" t="s">
        <v>122</v>
      </c>
    </row>
    <row r="441" spans="1:16" x14ac:dyDescent="0.3">
      <c r="A441" t="s">
        <v>25</v>
      </c>
      <c r="B441" s="1">
        <v>45583.52244212963</v>
      </c>
      <c r="C441" t="str">
        <f t="shared" ref="C441:C447" si="88">"41"</f>
        <v>41</v>
      </c>
      <c r="D441" t="s">
        <v>120</v>
      </c>
      <c r="E441" t="s">
        <v>116</v>
      </c>
      <c r="F441" t="s">
        <v>117</v>
      </c>
      <c r="H441" t="s">
        <v>212</v>
      </c>
      <c r="I441" t="str">
        <f>"101050002025422"</f>
        <v>101050002025422</v>
      </c>
      <c r="J441" t="str">
        <f t="shared" ref="J441:J447" si="89">"515120"</f>
        <v>515120</v>
      </c>
      <c r="K441" t="s">
        <v>2</v>
      </c>
      <c r="L441">
        <v>49</v>
      </c>
      <c r="M441">
        <v>49</v>
      </c>
      <c r="N441">
        <v>0</v>
      </c>
      <c r="O441" s="1">
        <v>45583.52244212963</v>
      </c>
      <c r="P441" t="s">
        <v>122</v>
      </c>
    </row>
    <row r="442" spans="1:16" x14ac:dyDescent="0.3">
      <c r="A442" t="s">
        <v>25</v>
      </c>
      <c r="B442" s="1">
        <v>45583.52244212963</v>
      </c>
      <c r="C442" t="str">
        <f t="shared" si="88"/>
        <v>41</v>
      </c>
      <c r="D442" t="s">
        <v>120</v>
      </c>
      <c r="E442" t="s">
        <v>116</v>
      </c>
      <c r="F442" t="s">
        <v>117</v>
      </c>
      <c r="H442" t="s">
        <v>212</v>
      </c>
      <c r="I442" t="str">
        <f>"101050002025372"</f>
        <v>101050002025372</v>
      </c>
      <c r="J442" t="str">
        <f t="shared" si="89"/>
        <v>515120</v>
      </c>
      <c r="K442" t="s">
        <v>2</v>
      </c>
      <c r="L442">
        <v>49</v>
      </c>
      <c r="M442">
        <v>49</v>
      </c>
      <c r="N442">
        <v>0</v>
      </c>
      <c r="O442" s="1">
        <v>45583.52244212963</v>
      </c>
      <c r="P442" t="s">
        <v>122</v>
      </c>
    </row>
    <row r="443" spans="1:16" x14ac:dyDescent="0.3">
      <c r="A443" t="s">
        <v>25</v>
      </c>
      <c r="B443" s="1">
        <v>45583.52244212963</v>
      </c>
      <c r="C443" t="str">
        <f t="shared" si="88"/>
        <v>41</v>
      </c>
      <c r="D443" t="s">
        <v>120</v>
      </c>
      <c r="E443" t="s">
        <v>116</v>
      </c>
      <c r="F443" t="s">
        <v>117</v>
      </c>
      <c r="H443" t="s">
        <v>212</v>
      </c>
      <c r="I443" t="str">
        <f>"101050002025324"</f>
        <v>101050002025324</v>
      </c>
      <c r="J443" t="str">
        <f t="shared" si="89"/>
        <v>515120</v>
      </c>
      <c r="K443" t="s">
        <v>2</v>
      </c>
      <c r="L443">
        <v>49</v>
      </c>
      <c r="M443">
        <v>49</v>
      </c>
      <c r="N443">
        <v>0</v>
      </c>
      <c r="O443" s="1">
        <v>45583.52244212963</v>
      </c>
      <c r="P443" t="s">
        <v>122</v>
      </c>
    </row>
    <row r="444" spans="1:16" x14ac:dyDescent="0.3">
      <c r="A444" t="s">
        <v>25</v>
      </c>
      <c r="B444" s="1">
        <v>45583.52244212963</v>
      </c>
      <c r="C444" t="str">
        <f t="shared" si="88"/>
        <v>41</v>
      </c>
      <c r="D444" t="s">
        <v>120</v>
      </c>
      <c r="E444" t="s">
        <v>116</v>
      </c>
      <c r="F444" t="s">
        <v>117</v>
      </c>
      <c r="H444" t="s">
        <v>212</v>
      </c>
      <c r="I444" t="str">
        <f>"101050002025235"</f>
        <v>101050002025235</v>
      </c>
      <c r="J444" t="str">
        <f t="shared" si="89"/>
        <v>515120</v>
      </c>
      <c r="K444" t="s">
        <v>2</v>
      </c>
      <c r="L444">
        <v>49</v>
      </c>
      <c r="M444">
        <v>49</v>
      </c>
      <c r="N444">
        <v>0</v>
      </c>
      <c r="O444" s="1">
        <v>45583.52244212963</v>
      </c>
      <c r="P444" t="s">
        <v>122</v>
      </c>
    </row>
    <row r="445" spans="1:16" x14ac:dyDescent="0.3">
      <c r="A445" t="s">
        <v>25</v>
      </c>
      <c r="B445" s="1">
        <v>45583.52244212963</v>
      </c>
      <c r="C445" t="str">
        <f t="shared" si="88"/>
        <v>41</v>
      </c>
      <c r="D445" t="s">
        <v>120</v>
      </c>
      <c r="E445" t="s">
        <v>116</v>
      </c>
      <c r="F445" t="s">
        <v>117</v>
      </c>
      <c r="H445" t="s">
        <v>212</v>
      </c>
      <c r="I445" t="str">
        <f>"101050002024883"</f>
        <v>101050002024883</v>
      </c>
      <c r="J445" t="str">
        <f t="shared" si="89"/>
        <v>515120</v>
      </c>
      <c r="K445" t="s">
        <v>2</v>
      </c>
      <c r="L445">
        <v>49</v>
      </c>
      <c r="M445">
        <v>49</v>
      </c>
      <c r="N445">
        <v>0</v>
      </c>
      <c r="O445" s="1">
        <v>45583.52244212963</v>
      </c>
      <c r="P445" t="s">
        <v>122</v>
      </c>
    </row>
    <row r="446" spans="1:16" x14ac:dyDescent="0.3">
      <c r="A446" t="s">
        <v>25</v>
      </c>
      <c r="B446" s="1">
        <v>45583.52244212963</v>
      </c>
      <c r="C446" t="str">
        <f t="shared" si="88"/>
        <v>41</v>
      </c>
      <c r="D446" t="s">
        <v>120</v>
      </c>
      <c r="E446" t="s">
        <v>116</v>
      </c>
      <c r="F446" t="s">
        <v>117</v>
      </c>
      <c r="H446" t="s">
        <v>212</v>
      </c>
      <c r="I446" t="str">
        <f>"101050002024863"</f>
        <v>101050002024863</v>
      </c>
      <c r="J446" t="str">
        <f t="shared" si="89"/>
        <v>515120</v>
      </c>
      <c r="K446" t="s">
        <v>2</v>
      </c>
      <c r="L446">
        <v>49</v>
      </c>
      <c r="M446">
        <v>49</v>
      </c>
      <c r="N446">
        <v>0</v>
      </c>
      <c r="O446" s="1">
        <v>45583.52244212963</v>
      </c>
      <c r="P446" t="s">
        <v>122</v>
      </c>
    </row>
    <row r="447" spans="1:16" x14ac:dyDescent="0.3">
      <c r="A447" t="s">
        <v>25</v>
      </c>
      <c r="B447" s="1">
        <v>45583.52244212963</v>
      </c>
      <c r="C447" t="str">
        <f t="shared" si="88"/>
        <v>41</v>
      </c>
      <c r="D447" t="s">
        <v>120</v>
      </c>
      <c r="E447" t="s">
        <v>116</v>
      </c>
      <c r="F447" t="s">
        <v>117</v>
      </c>
      <c r="H447" t="s">
        <v>212</v>
      </c>
      <c r="I447" t="str">
        <f>"101050002024862"</f>
        <v>101050002024862</v>
      </c>
      <c r="J447" t="str">
        <f t="shared" si="89"/>
        <v>515120</v>
      </c>
      <c r="K447" t="s">
        <v>2</v>
      </c>
      <c r="L447">
        <v>49</v>
      </c>
      <c r="M447">
        <v>49</v>
      </c>
      <c r="N447">
        <v>0</v>
      </c>
      <c r="O447" s="1">
        <v>45583.52244212963</v>
      </c>
      <c r="P447" t="s">
        <v>122</v>
      </c>
    </row>
    <row r="448" spans="1:16" x14ac:dyDescent="0.3">
      <c r="A448" t="s">
        <v>25</v>
      </c>
      <c r="B448" s="1">
        <v>45583.515011574076</v>
      </c>
      <c r="C448" t="str">
        <f>"38"</f>
        <v>38</v>
      </c>
      <c r="D448" t="s">
        <v>115</v>
      </c>
      <c r="E448" t="s">
        <v>116</v>
      </c>
      <c r="F448" t="s">
        <v>117</v>
      </c>
      <c r="H448" t="s">
        <v>213</v>
      </c>
      <c r="L448">
        <v>0</v>
      </c>
      <c r="M448">
        <v>0</v>
      </c>
      <c r="N448">
        <v>0</v>
      </c>
      <c r="O448" s="1">
        <v>45583.515011574076</v>
      </c>
      <c r="P448" t="s">
        <v>132</v>
      </c>
    </row>
    <row r="449" spans="1:16" x14ac:dyDescent="0.3">
      <c r="A449" t="s">
        <v>25</v>
      </c>
      <c r="B449" s="1">
        <v>45583.515011574076</v>
      </c>
      <c r="C449" t="str">
        <f t="shared" ref="C449:C455" si="90">"41"</f>
        <v>41</v>
      </c>
      <c r="D449" t="s">
        <v>120</v>
      </c>
      <c r="E449" t="s">
        <v>116</v>
      </c>
      <c r="F449" t="s">
        <v>117</v>
      </c>
      <c r="H449" t="s">
        <v>213</v>
      </c>
      <c r="I449" t="str">
        <f>"101050002024666"</f>
        <v>101050002024666</v>
      </c>
      <c r="J449" t="str">
        <f t="shared" ref="J449:J455" si="91">"515122"</f>
        <v>515122</v>
      </c>
      <c r="K449" t="s">
        <v>4</v>
      </c>
      <c r="L449">
        <v>49</v>
      </c>
      <c r="M449">
        <v>49</v>
      </c>
      <c r="N449">
        <v>0</v>
      </c>
      <c r="O449" s="1">
        <v>45583.515011574076</v>
      </c>
      <c r="P449" t="s">
        <v>132</v>
      </c>
    </row>
    <row r="450" spans="1:16" x14ac:dyDescent="0.3">
      <c r="A450" t="s">
        <v>25</v>
      </c>
      <c r="B450" s="1">
        <v>45583.515011574076</v>
      </c>
      <c r="C450" t="str">
        <f t="shared" si="90"/>
        <v>41</v>
      </c>
      <c r="D450" t="s">
        <v>120</v>
      </c>
      <c r="E450" t="s">
        <v>116</v>
      </c>
      <c r="F450" t="s">
        <v>117</v>
      </c>
      <c r="H450" t="s">
        <v>213</v>
      </c>
      <c r="I450" t="str">
        <f>"101050002024261"</f>
        <v>101050002024261</v>
      </c>
      <c r="J450" t="str">
        <f t="shared" si="91"/>
        <v>515122</v>
      </c>
      <c r="K450" t="s">
        <v>4</v>
      </c>
      <c r="L450">
        <v>49</v>
      </c>
      <c r="M450">
        <v>49</v>
      </c>
      <c r="N450">
        <v>0</v>
      </c>
      <c r="O450" s="1">
        <v>45583.515011574076</v>
      </c>
      <c r="P450" t="s">
        <v>132</v>
      </c>
    </row>
    <row r="451" spans="1:16" x14ac:dyDescent="0.3">
      <c r="A451" t="s">
        <v>25</v>
      </c>
      <c r="B451" s="1">
        <v>45583.514999999999</v>
      </c>
      <c r="C451" t="str">
        <f t="shared" si="90"/>
        <v>41</v>
      </c>
      <c r="D451" t="s">
        <v>120</v>
      </c>
      <c r="E451" t="s">
        <v>116</v>
      </c>
      <c r="F451" t="s">
        <v>117</v>
      </c>
      <c r="H451" t="s">
        <v>213</v>
      </c>
      <c r="I451" t="str">
        <f>"101050002024244"</f>
        <v>101050002024244</v>
      </c>
      <c r="J451" t="str">
        <f t="shared" si="91"/>
        <v>515122</v>
      </c>
      <c r="K451" t="s">
        <v>4</v>
      </c>
      <c r="L451">
        <v>49</v>
      </c>
      <c r="M451">
        <v>49</v>
      </c>
      <c r="N451">
        <v>0</v>
      </c>
      <c r="O451" s="1">
        <v>45583.514999999999</v>
      </c>
      <c r="P451" t="s">
        <v>132</v>
      </c>
    </row>
    <row r="452" spans="1:16" x14ac:dyDescent="0.3">
      <c r="A452" t="s">
        <v>25</v>
      </c>
      <c r="B452" s="1">
        <v>45583.514999999999</v>
      </c>
      <c r="C452" t="str">
        <f t="shared" si="90"/>
        <v>41</v>
      </c>
      <c r="D452" t="s">
        <v>120</v>
      </c>
      <c r="E452" t="s">
        <v>116</v>
      </c>
      <c r="F452" t="s">
        <v>117</v>
      </c>
      <c r="H452" t="s">
        <v>213</v>
      </c>
      <c r="I452" t="str">
        <f>"101050002023327"</f>
        <v>101050002023327</v>
      </c>
      <c r="J452" t="str">
        <f t="shared" si="91"/>
        <v>515122</v>
      </c>
      <c r="K452" t="s">
        <v>4</v>
      </c>
      <c r="L452">
        <v>49</v>
      </c>
      <c r="M452">
        <v>49</v>
      </c>
      <c r="N452">
        <v>0</v>
      </c>
      <c r="O452" s="1">
        <v>45583.514999999999</v>
      </c>
      <c r="P452" t="s">
        <v>132</v>
      </c>
    </row>
    <row r="453" spans="1:16" x14ac:dyDescent="0.3">
      <c r="A453" t="s">
        <v>25</v>
      </c>
      <c r="B453" s="1">
        <v>45583.514999999999</v>
      </c>
      <c r="C453" t="str">
        <f t="shared" si="90"/>
        <v>41</v>
      </c>
      <c r="D453" t="s">
        <v>120</v>
      </c>
      <c r="E453" t="s">
        <v>116</v>
      </c>
      <c r="F453" t="s">
        <v>117</v>
      </c>
      <c r="H453" t="s">
        <v>213</v>
      </c>
      <c r="I453" t="str">
        <f>"101050002022077"</f>
        <v>101050002022077</v>
      </c>
      <c r="J453" t="str">
        <f t="shared" si="91"/>
        <v>515122</v>
      </c>
      <c r="K453" t="s">
        <v>4</v>
      </c>
      <c r="L453">
        <v>49</v>
      </c>
      <c r="M453">
        <v>49</v>
      </c>
      <c r="N453">
        <v>0</v>
      </c>
      <c r="O453" s="1">
        <v>45583.514999999999</v>
      </c>
      <c r="P453" t="s">
        <v>132</v>
      </c>
    </row>
    <row r="454" spans="1:16" x14ac:dyDescent="0.3">
      <c r="A454" t="s">
        <v>25</v>
      </c>
      <c r="B454" s="1">
        <v>45583.514999999999</v>
      </c>
      <c r="C454" t="str">
        <f t="shared" si="90"/>
        <v>41</v>
      </c>
      <c r="D454" t="s">
        <v>120</v>
      </c>
      <c r="E454" t="s">
        <v>116</v>
      </c>
      <c r="F454" t="s">
        <v>117</v>
      </c>
      <c r="H454" t="s">
        <v>213</v>
      </c>
      <c r="I454" t="str">
        <f>"101050002019858"</f>
        <v>101050002019858</v>
      </c>
      <c r="J454" t="str">
        <f t="shared" si="91"/>
        <v>515122</v>
      </c>
      <c r="K454" t="s">
        <v>4</v>
      </c>
      <c r="L454">
        <v>49</v>
      </c>
      <c r="M454">
        <v>49</v>
      </c>
      <c r="N454">
        <v>0</v>
      </c>
      <c r="O454" s="1">
        <v>45583.514999999999</v>
      </c>
      <c r="P454" t="s">
        <v>132</v>
      </c>
    </row>
    <row r="455" spans="1:16" x14ac:dyDescent="0.3">
      <c r="A455" t="s">
        <v>25</v>
      </c>
      <c r="B455" s="1">
        <v>45583.514999999999</v>
      </c>
      <c r="C455" t="str">
        <f t="shared" si="90"/>
        <v>41</v>
      </c>
      <c r="D455" t="s">
        <v>120</v>
      </c>
      <c r="E455" t="s">
        <v>116</v>
      </c>
      <c r="F455" t="s">
        <v>117</v>
      </c>
      <c r="H455" t="s">
        <v>213</v>
      </c>
      <c r="I455" t="str">
        <f>"101050002023520"</f>
        <v>101050002023520</v>
      </c>
      <c r="J455" t="str">
        <f t="shared" si="91"/>
        <v>515122</v>
      </c>
      <c r="K455" t="s">
        <v>4</v>
      </c>
      <c r="L455">
        <v>49</v>
      </c>
      <c r="M455">
        <v>49</v>
      </c>
      <c r="N455">
        <v>0</v>
      </c>
      <c r="O455" s="1">
        <v>45583.514999999999</v>
      </c>
      <c r="P455" t="s">
        <v>132</v>
      </c>
    </row>
    <row r="456" spans="1:16" x14ac:dyDescent="0.3">
      <c r="A456" t="s">
        <v>25</v>
      </c>
      <c r="B456" s="1">
        <v>45583.514120370368</v>
      </c>
      <c r="C456" t="str">
        <f>"38"</f>
        <v>38</v>
      </c>
      <c r="D456" t="s">
        <v>115</v>
      </c>
      <c r="E456" t="s">
        <v>116</v>
      </c>
      <c r="F456" t="s">
        <v>117</v>
      </c>
      <c r="H456" t="s">
        <v>214</v>
      </c>
      <c r="L456">
        <v>0</v>
      </c>
      <c r="M456">
        <v>0</v>
      </c>
      <c r="N456">
        <v>0</v>
      </c>
      <c r="O456" s="1">
        <v>45583.514120370368</v>
      </c>
      <c r="P456" t="s">
        <v>119</v>
      </c>
    </row>
    <row r="457" spans="1:16" x14ac:dyDescent="0.3">
      <c r="A457" t="s">
        <v>25</v>
      </c>
      <c r="B457" s="1">
        <v>45583.514120370368</v>
      </c>
      <c r="C457" t="str">
        <f t="shared" ref="C457:C463" si="92">"41"</f>
        <v>41</v>
      </c>
      <c r="D457" t="s">
        <v>120</v>
      </c>
      <c r="E457" t="s">
        <v>116</v>
      </c>
      <c r="F457" t="s">
        <v>117</v>
      </c>
      <c r="H457" t="s">
        <v>214</v>
      </c>
      <c r="I457" t="str">
        <f>"240925143929646"</f>
        <v>240925143929646</v>
      </c>
      <c r="J457" t="str">
        <f t="shared" ref="J457:J463" si="93">"126899"</f>
        <v>126899</v>
      </c>
      <c r="K457" t="s">
        <v>53</v>
      </c>
      <c r="L457">
        <v>49</v>
      </c>
      <c r="M457">
        <v>49</v>
      </c>
      <c r="N457">
        <v>0</v>
      </c>
      <c r="O457" s="1">
        <v>45583.514120370368</v>
      </c>
      <c r="P457" t="s">
        <v>119</v>
      </c>
    </row>
    <row r="458" spans="1:16" x14ac:dyDescent="0.3">
      <c r="A458" t="s">
        <v>25</v>
      </c>
      <c r="B458" s="1">
        <v>45583.514120370368</v>
      </c>
      <c r="C458" t="str">
        <f t="shared" si="92"/>
        <v>41</v>
      </c>
      <c r="D458" t="s">
        <v>120</v>
      </c>
      <c r="E458" t="s">
        <v>116</v>
      </c>
      <c r="F458" t="s">
        <v>117</v>
      </c>
      <c r="H458" t="s">
        <v>214</v>
      </c>
      <c r="I458" t="str">
        <f>"240925143938653"</f>
        <v>240925143938653</v>
      </c>
      <c r="J458" t="str">
        <f t="shared" si="93"/>
        <v>126899</v>
      </c>
      <c r="K458" t="s">
        <v>53</v>
      </c>
      <c r="L458">
        <v>49</v>
      </c>
      <c r="M458">
        <v>49</v>
      </c>
      <c r="N458">
        <v>0</v>
      </c>
      <c r="O458" s="1">
        <v>45583.514120370368</v>
      </c>
      <c r="P458" t="s">
        <v>119</v>
      </c>
    </row>
    <row r="459" spans="1:16" x14ac:dyDescent="0.3">
      <c r="A459" t="s">
        <v>25</v>
      </c>
      <c r="B459" s="1">
        <v>45583.514108796298</v>
      </c>
      <c r="C459" t="str">
        <f t="shared" si="92"/>
        <v>41</v>
      </c>
      <c r="D459" t="s">
        <v>120</v>
      </c>
      <c r="E459" t="s">
        <v>116</v>
      </c>
      <c r="F459" t="s">
        <v>117</v>
      </c>
      <c r="H459" t="s">
        <v>214</v>
      </c>
      <c r="I459" t="str">
        <f>"240925143934051"</f>
        <v>240925143934051</v>
      </c>
      <c r="J459" t="str">
        <f t="shared" si="93"/>
        <v>126899</v>
      </c>
      <c r="K459" t="s">
        <v>53</v>
      </c>
      <c r="L459">
        <v>49</v>
      </c>
      <c r="M459">
        <v>49</v>
      </c>
      <c r="N459">
        <v>0</v>
      </c>
      <c r="O459" s="1">
        <v>45583.514108796298</v>
      </c>
      <c r="P459" t="s">
        <v>119</v>
      </c>
    </row>
    <row r="460" spans="1:16" x14ac:dyDescent="0.3">
      <c r="A460" t="s">
        <v>25</v>
      </c>
      <c r="B460" s="1">
        <v>45583.514108796298</v>
      </c>
      <c r="C460" t="str">
        <f t="shared" si="92"/>
        <v>41</v>
      </c>
      <c r="D460" t="s">
        <v>120</v>
      </c>
      <c r="E460" t="s">
        <v>116</v>
      </c>
      <c r="F460" t="s">
        <v>117</v>
      </c>
      <c r="H460" t="s">
        <v>214</v>
      </c>
      <c r="I460" t="str">
        <f>"240925143952356"</f>
        <v>240925143952356</v>
      </c>
      <c r="J460" t="str">
        <f t="shared" si="93"/>
        <v>126899</v>
      </c>
      <c r="K460" t="s">
        <v>53</v>
      </c>
      <c r="L460">
        <v>49</v>
      </c>
      <c r="M460">
        <v>49</v>
      </c>
      <c r="N460">
        <v>0</v>
      </c>
      <c r="O460" s="1">
        <v>45583.514108796298</v>
      </c>
      <c r="P460" t="s">
        <v>119</v>
      </c>
    </row>
    <row r="461" spans="1:16" x14ac:dyDescent="0.3">
      <c r="A461" t="s">
        <v>25</v>
      </c>
      <c r="B461" s="1">
        <v>45583.514108796298</v>
      </c>
      <c r="C461" t="str">
        <f t="shared" si="92"/>
        <v>41</v>
      </c>
      <c r="D461" t="s">
        <v>120</v>
      </c>
      <c r="E461" t="s">
        <v>116</v>
      </c>
      <c r="F461" t="s">
        <v>117</v>
      </c>
      <c r="H461" t="s">
        <v>214</v>
      </c>
      <c r="I461" t="str">
        <f>"240925144023174"</f>
        <v>240925144023174</v>
      </c>
      <c r="J461" t="str">
        <f t="shared" si="93"/>
        <v>126899</v>
      </c>
      <c r="K461" t="s">
        <v>53</v>
      </c>
      <c r="L461">
        <v>49</v>
      </c>
      <c r="M461">
        <v>49</v>
      </c>
      <c r="N461">
        <v>0</v>
      </c>
      <c r="O461" s="1">
        <v>45583.514108796298</v>
      </c>
      <c r="P461" t="s">
        <v>119</v>
      </c>
    </row>
    <row r="462" spans="1:16" x14ac:dyDescent="0.3">
      <c r="A462" t="s">
        <v>25</v>
      </c>
      <c r="B462" s="1">
        <v>45583.514108796298</v>
      </c>
      <c r="C462" t="str">
        <f t="shared" si="92"/>
        <v>41</v>
      </c>
      <c r="D462" t="s">
        <v>120</v>
      </c>
      <c r="E462" t="s">
        <v>116</v>
      </c>
      <c r="F462" t="s">
        <v>117</v>
      </c>
      <c r="H462" t="s">
        <v>214</v>
      </c>
      <c r="I462" t="str">
        <f>"240925143943006"</f>
        <v>240925143943006</v>
      </c>
      <c r="J462" t="str">
        <f t="shared" si="93"/>
        <v>126899</v>
      </c>
      <c r="K462" t="s">
        <v>53</v>
      </c>
      <c r="L462">
        <v>49</v>
      </c>
      <c r="M462">
        <v>49</v>
      </c>
      <c r="N462">
        <v>0</v>
      </c>
      <c r="O462" s="1">
        <v>45583.514108796298</v>
      </c>
      <c r="P462" t="s">
        <v>119</v>
      </c>
    </row>
    <row r="463" spans="1:16" x14ac:dyDescent="0.3">
      <c r="A463" t="s">
        <v>25</v>
      </c>
      <c r="B463" s="1">
        <v>45583.514108796298</v>
      </c>
      <c r="C463" t="str">
        <f t="shared" si="92"/>
        <v>41</v>
      </c>
      <c r="D463" t="s">
        <v>120</v>
      </c>
      <c r="E463" t="s">
        <v>116</v>
      </c>
      <c r="F463" t="s">
        <v>117</v>
      </c>
      <c r="H463" t="s">
        <v>214</v>
      </c>
      <c r="I463" t="str">
        <f>"240925143947542"</f>
        <v>240925143947542</v>
      </c>
      <c r="J463" t="str">
        <f t="shared" si="93"/>
        <v>126899</v>
      </c>
      <c r="K463" t="s">
        <v>53</v>
      </c>
      <c r="L463">
        <v>49</v>
      </c>
      <c r="M463">
        <v>49</v>
      </c>
      <c r="N463">
        <v>0</v>
      </c>
      <c r="O463" s="1">
        <v>45583.514108796298</v>
      </c>
      <c r="P463" t="s">
        <v>119</v>
      </c>
    </row>
    <row r="464" spans="1:16" x14ac:dyDescent="0.3">
      <c r="A464" t="s">
        <v>25</v>
      </c>
      <c r="B464" s="1">
        <v>45583.514872685184</v>
      </c>
      <c r="C464" t="str">
        <f>"38"</f>
        <v>38</v>
      </c>
      <c r="D464" t="s">
        <v>115</v>
      </c>
      <c r="E464" t="s">
        <v>116</v>
      </c>
      <c r="F464" t="s">
        <v>117</v>
      </c>
      <c r="H464" t="s">
        <v>215</v>
      </c>
      <c r="L464">
        <v>0</v>
      </c>
      <c r="M464">
        <v>0</v>
      </c>
      <c r="N464">
        <v>0</v>
      </c>
      <c r="O464" s="1">
        <v>45583.514872685184</v>
      </c>
      <c r="P464" t="s">
        <v>125</v>
      </c>
    </row>
    <row r="465" spans="1:16" x14ac:dyDescent="0.3">
      <c r="A465" t="s">
        <v>25</v>
      </c>
      <c r="B465" s="1">
        <v>45583.514872685184</v>
      </c>
      <c r="C465" t="str">
        <f t="shared" ref="C465:C471" si="94">"41"</f>
        <v>41</v>
      </c>
      <c r="D465" t="s">
        <v>120</v>
      </c>
      <c r="E465" t="s">
        <v>116</v>
      </c>
      <c r="F465" t="s">
        <v>117</v>
      </c>
      <c r="H465" t="s">
        <v>215</v>
      </c>
      <c r="I465" t="str">
        <f>"101050002028101"</f>
        <v>101050002028101</v>
      </c>
      <c r="J465" t="str">
        <f t="shared" ref="J465:J471" si="95">"515101"</f>
        <v>515101</v>
      </c>
      <c r="K465" t="s">
        <v>1</v>
      </c>
      <c r="L465">
        <v>91</v>
      </c>
      <c r="M465">
        <v>91</v>
      </c>
      <c r="N465">
        <v>0</v>
      </c>
      <c r="O465" s="1">
        <v>45583.514872685184</v>
      </c>
      <c r="P465" t="s">
        <v>125</v>
      </c>
    </row>
    <row r="466" spans="1:16" x14ac:dyDescent="0.3">
      <c r="A466" t="s">
        <v>25</v>
      </c>
      <c r="B466" s="1">
        <v>45583.514872685184</v>
      </c>
      <c r="C466" t="str">
        <f t="shared" si="94"/>
        <v>41</v>
      </c>
      <c r="D466" t="s">
        <v>120</v>
      </c>
      <c r="E466" t="s">
        <v>116</v>
      </c>
      <c r="F466" t="s">
        <v>117</v>
      </c>
      <c r="H466" t="s">
        <v>215</v>
      </c>
      <c r="I466" t="str">
        <f>"101050002028096"</f>
        <v>101050002028096</v>
      </c>
      <c r="J466" t="str">
        <f t="shared" si="95"/>
        <v>515101</v>
      </c>
      <c r="K466" t="s">
        <v>1</v>
      </c>
      <c r="L466">
        <v>91</v>
      </c>
      <c r="M466">
        <v>91</v>
      </c>
      <c r="N466">
        <v>0</v>
      </c>
      <c r="O466" s="1">
        <v>45583.514872685184</v>
      </c>
      <c r="P466" t="s">
        <v>125</v>
      </c>
    </row>
    <row r="467" spans="1:16" x14ac:dyDescent="0.3">
      <c r="A467" t="s">
        <v>25</v>
      </c>
      <c r="B467" s="1">
        <v>45583.514872685184</v>
      </c>
      <c r="C467" t="str">
        <f t="shared" si="94"/>
        <v>41</v>
      </c>
      <c r="D467" t="s">
        <v>120</v>
      </c>
      <c r="E467" t="s">
        <v>116</v>
      </c>
      <c r="F467" t="s">
        <v>117</v>
      </c>
      <c r="H467" t="s">
        <v>215</v>
      </c>
      <c r="I467" t="str">
        <f>"101050002028424"</f>
        <v>101050002028424</v>
      </c>
      <c r="J467" t="str">
        <f t="shared" si="95"/>
        <v>515101</v>
      </c>
      <c r="K467" t="s">
        <v>1</v>
      </c>
      <c r="L467">
        <v>91</v>
      </c>
      <c r="M467">
        <v>91</v>
      </c>
      <c r="N467">
        <v>0</v>
      </c>
      <c r="O467" s="1">
        <v>45583.514872685184</v>
      </c>
      <c r="P467" t="s">
        <v>125</v>
      </c>
    </row>
    <row r="468" spans="1:16" x14ac:dyDescent="0.3">
      <c r="A468" t="s">
        <v>25</v>
      </c>
      <c r="B468" s="1">
        <v>45583.514872685184</v>
      </c>
      <c r="C468" t="str">
        <f t="shared" si="94"/>
        <v>41</v>
      </c>
      <c r="D468" t="s">
        <v>120</v>
      </c>
      <c r="E468" t="s">
        <v>116</v>
      </c>
      <c r="F468" t="s">
        <v>117</v>
      </c>
      <c r="H468" t="s">
        <v>215</v>
      </c>
      <c r="I468" t="str">
        <f>"101050002028426"</f>
        <v>101050002028426</v>
      </c>
      <c r="J468" t="str">
        <f t="shared" si="95"/>
        <v>515101</v>
      </c>
      <c r="K468" t="s">
        <v>1</v>
      </c>
      <c r="L468">
        <v>91</v>
      </c>
      <c r="M468">
        <v>91</v>
      </c>
      <c r="N468">
        <v>0</v>
      </c>
      <c r="O468" s="1">
        <v>45583.514872685184</v>
      </c>
      <c r="P468" t="s">
        <v>125</v>
      </c>
    </row>
    <row r="469" spans="1:16" x14ac:dyDescent="0.3">
      <c r="A469" t="s">
        <v>25</v>
      </c>
      <c r="B469" s="1">
        <v>45583.514861111114</v>
      </c>
      <c r="C469" t="str">
        <f t="shared" si="94"/>
        <v>41</v>
      </c>
      <c r="D469" t="s">
        <v>120</v>
      </c>
      <c r="E469" t="s">
        <v>116</v>
      </c>
      <c r="F469" t="s">
        <v>117</v>
      </c>
      <c r="H469" t="s">
        <v>215</v>
      </c>
      <c r="I469" t="str">
        <f>"101050002028527"</f>
        <v>101050002028527</v>
      </c>
      <c r="J469" t="str">
        <f t="shared" si="95"/>
        <v>515101</v>
      </c>
      <c r="K469" t="s">
        <v>1</v>
      </c>
      <c r="L469">
        <v>91</v>
      </c>
      <c r="M469">
        <v>91</v>
      </c>
      <c r="N469">
        <v>0</v>
      </c>
      <c r="O469" s="1">
        <v>45583.514861111114</v>
      </c>
      <c r="P469" t="s">
        <v>125</v>
      </c>
    </row>
    <row r="470" spans="1:16" x14ac:dyDescent="0.3">
      <c r="A470" t="s">
        <v>25</v>
      </c>
      <c r="B470" s="1">
        <v>45583.514861111114</v>
      </c>
      <c r="C470" t="str">
        <f t="shared" si="94"/>
        <v>41</v>
      </c>
      <c r="D470" t="s">
        <v>120</v>
      </c>
      <c r="E470" t="s">
        <v>116</v>
      </c>
      <c r="F470" t="s">
        <v>117</v>
      </c>
      <c r="H470" t="s">
        <v>215</v>
      </c>
      <c r="I470" t="str">
        <f>"101050002027727"</f>
        <v>101050002027727</v>
      </c>
      <c r="J470" t="str">
        <f t="shared" si="95"/>
        <v>515101</v>
      </c>
      <c r="K470" t="s">
        <v>1</v>
      </c>
      <c r="L470">
        <v>91</v>
      </c>
      <c r="M470">
        <v>91</v>
      </c>
      <c r="N470">
        <v>0</v>
      </c>
      <c r="O470" s="1">
        <v>45583.514861111114</v>
      </c>
      <c r="P470" t="s">
        <v>125</v>
      </c>
    </row>
    <row r="471" spans="1:16" x14ac:dyDescent="0.3">
      <c r="A471" t="s">
        <v>25</v>
      </c>
      <c r="B471" s="1">
        <v>45583.514861111114</v>
      </c>
      <c r="C471" t="str">
        <f t="shared" si="94"/>
        <v>41</v>
      </c>
      <c r="D471" t="s">
        <v>120</v>
      </c>
      <c r="E471" t="s">
        <v>116</v>
      </c>
      <c r="F471" t="s">
        <v>117</v>
      </c>
      <c r="H471" t="s">
        <v>215</v>
      </c>
      <c r="I471" t="str">
        <f>"101050002027706"</f>
        <v>101050002027706</v>
      </c>
      <c r="J471" t="str">
        <f t="shared" si="95"/>
        <v>515101</v>
      </c>
      <c r="K471" t="s">
        <v>1</v>
      </c>
      <c r="L471">
        <v>91</v>
      </c>
      <c r="M471">
        <v>91</v>
      </c>
      <c r="N471">
        <v>0</v>
      </c>
      <c r="O471" s="1">
        <v>45583.514861111114</v>
      </c>
      <c r="P471" t="s">
        <v>125</v>
      </c>
    </row>
    <row r="472" spans="1:16" x14ac:dyDescent="0.3">
      <c r="A472" t="s">
        <v>25</v>
      </c>
      <c r="B472" s="1">
        <v>45583.512858796297</v>
      </c>
      <c r="C472" t="str">
        <f>"38"</f>
        <v>38</v>
      </c>
      <c r="D472" t="s">
        <v>115</v>
      </c>
      <c r="E472" t="s">
        <v>116</v>
      </c>
      <c r="F472" t="s">
        <v>117</v>
      </c>
      <c r="H472" t="s">
        <v>216</v>
      </c>
      <c r="L472">
        <v>0</v>
      </c>
      <c r="M472">
        <v>0</v>
      </c>
      <c r="N472">
        <v>0</v>
      </c>
      <c r="O472" s="1">
        <v>45583.512858796297</v>
      </c>
      <c r="P472" t="s">
        <v>122</v>
      </c>
    </row>
    <row r="473" spans="1:16" x14ac:dyDescent="0.3">
      <c r="A473" t="s">
        <v>25</v>
      </c>
      <c r="B473" s="1">
        <v>45583.512858796297</v>
      </c>
      <c r="C473" t="str">
        <f t="shared" ref="C473:C479" si="96">"41"</f>
        <v>41</v>
      </c>
      <c r="D473" t="s">
        <v>120</v>
      </c>
      <c r="E473" t="s">
        <v>116</v>
      </c>
      <c r="F473" t="s">
        <v>117</v>
      </c>
      <c r="H473" t="s">
        <v>216</v>
      </c>
      <c r="I473" t="str">
        <f>"101050002023270"</f>
        <v>101050002023270</v>
      </c>
      <c r="J473" t="str">
        <f t="shared" ref="J473:J479" si="97">"514913"</f>
        <v>514913</v>
      </c>
      <c r="K473" t="s">
        <v>93</v>
      </c>
      <c r="L473">
        <v>91</v>
      </c>
      <c r="M473">
        <v>91</v>
      </c>
      <c r="N473">
        <v>0</v>
      </c>
      <c r="O473" s="1">
        <v>45583.512858796297</v>
      </c>
      <c r="P473" t="s">
        <v>122</v>
      </c>
    </row>
    <row r="474" spans="1:16" x14ac:dyDescent="0.3">
      <c r="A474" t="s">
        <v>25</v>
      </c>
      <c r="B474" s="1">
        <v>45583.512858796297</v>
      </c>
      <c r="C474" t="str">
        <f t="shared" si="96"/>
        <v>41</v>
      </c>
      <c r="D474" t="s">
        <v>120</v>
      </c>
      <c r="E474" t="s">
        <v>116</v>
      </c>
      <c r="F474" t="s">
        <v>117</v>
      </c>
      <c r="H474" t="s">
        <v>216</v>
      </c>
      <c r="I474" t="str">
        <f>"101050002023198"</f>
        <v>101050002023198</v>
      </c>
      <c r="J474" t="str">
        <f t="shared" si="97"/>
        <v>514913</v>
      </c>
      <c r="K474" t="s">
        <v>93</v>
      </c>
      <c r="L474">
        <v>91</v>
      </c>
      <c r="M474">
        <v>91</v>
      </c>
      <c r="N474">
        <v>0</v>
      </c>
      <c r="O474" s="1">
        <v>45583.512858796297</v>
      </c>
      <c r="P474" t="s">
        <v>122</v>
      </c>
    </row>
    <row r="475" spans="1:16" x14ac:dyDescent="0.3">
      <c r="A475" t="s">
        <v>25</v>
      </c>
      <c r="B475" s="1">
        <v>45583.512858796297</v>
      </c>
      <c r="C475" t="str">
        <f t="shared" si="96"/>
        <v>41</v>
      </c>
      <c r="D475" t="s">
        <v>120</v>
      </c>
      <c r="E475" t="s">
        <v>116</v>
      </c>
      <c r="F475" t="s">
        <v>117</v>
      </c>
      <c r="H475" t="s">
        <v>216</v>
      </c>
      <c r="I475" t="str">
        <f>"101050002023102"</f>
        <v>101050002023102</v>
      </c>
      <c r="J475" t="str">
        <f t="shared" si="97"/>
        <v>514913</v>
      </c>
      <c r="K475" t="s">
        <v>93</v>
      </c>
      <c r="L475">
        <v>91</v>
      </c>
      <c r="M475">
        <v>91</v>
      </c>
      <c r="N475">
        <v>0</v>
      </c>
      <c r="O475" s="1">
        <v>45583.512858796297</v>
      </c>
      <c r="P475" t="s">
        <v>122</v>
      </c>
    </row>
    <row r="476" spans="1:16" x14ac:dyDescent="0.3">
      <c r="A476" t="s">
        <v>25</v>
      </c>
      <c r="B476" s="1">
        <v>45583.51284722222</v>
      </c>
      <c r="C476" t="str">
        <f t="shared" si="96"/>
        <v>41</v>
      </c>
      <c r="D476" t="s">
        <v>120</v>
      </c>
      <c r="E476" t="s">
        <v>116</v>
      </c>
      <c r="F476" t="s">
        <v>117</v>
      </c>
      <c r="H476" t="s">
        <v>216</v>
      </c>
      <c r="I476" t="str">
        <f>"101050002023024"</f>
        <v>101050002023024</v>
      </c>
      <c r="J476" t="str">
        <f t="shared" si="97"/>
        <v>514913</v>
      </c>
      <c r="K476" t="s">
        <v>93</v>
      </c>
      <c r="L476">
        <v>91</v>
      </c>
      <c r="M476">
        <v>91</v>
      </c>
      <c r="N476">
        <v>0</v>
      </c>
      <c r="O476" s="1">
        <v>45583.51284722222</v>
      </c>
      <c r="P476" t="s">
        <v>122</v>
      </c>
    </row>
    <row r="477" spans="1:16" x14ac:dyDescent="0.3">
      <c r="A477" t="s">
        <v>25</v>
      </c>
      <c r="B477" s="1">
        <v>45583.51284722222</v>
      </c>
      <c r="C477" t="str">
        <f t="shared" si="96"/>
        <v>41</v>
      </c>
      <c r="D477" t="s">
        <v>120</v>
      </c>
      <c r="E477" t="s">
        <v>116</v>
      </c>
      <c r="F477" t="s">
        <v>117</v>
      </c>
      <c r="H477" t="s">
        <v>216</v>
      </c>
      <c r="I477" t="str">
        <f>"101050002022834"</f>
        <v>101050002022834</v>
      </c>
      <c r="J477" t="str">
        <f t="shared" si="97"/>
        <v>514913</v>
      </c>
      <c r="K477" t="s">
        <v>93</v>
      </c>
      <c r="L477">
        <v>91</v>
      </c>
      <c r="M477">
        <v>91</v>
      </c>
      <c r="N477">
        <v>0</v>
      </c>
      <c r="O477" s="1">
        <v>45583.51284722222</v>
      </c>
      <c r="P477" t="s">
        <v>122</v>
      </c>
    </row>
    <row r="478" spans="1:16" x14ac:dyDescent="0.3">
      <c r="A478" t="s">
        <v>25</v>
      </c>
      <c r="B478" s="1">
        <v>45583.51284722222</v>
      </c>
      <c r="C478" t="str">
        <f t="shared" si="96"/>
        <v>41</v>
      </c>
      <c r="D478" t="s">
        <v>120</v>
      </c>
      <c r="E478" t="s">
        <v>116</v>
      </c>
      <c r="F478" t="s">
        <v>117</v>
      </c>
      <c r="H478" t="s">
        <v>216</v>
      </c>
      <c r="I478" t="str">
        <f>"101050002022663"</f>
        <v>101050002022663</v>
      </c>
      <c r="J478" t="str">
        <f t="shared" si="97"/>
        <v>514913</v>
      </c>
      <c r="K478" t="s">
        <v>93</v>
      </c>
      <c r="L478">
        <v>91</v>
      </c>
      <c r="M478">
        <v>91</v>
      </c>
      <c r="N478">
        <v>0</v>
      </c>
      <c r="O478" s="1">
        <v>45583.51284722222</v>
      </c>
      <c r="P478" t="s">
        <v>122</v>
      </c>
    </row>
    <row r="479" spans="1:16" x14ac:dyDescent="0.3">
      <c r="A479" t="s">
        <v>25</v>
      </c>
      <c r="B479" s="1">
        <v>45583.51284722222</v>
      </c>
      <c r="C479" t="str">
        <f t="shared" si="96"/>
        <v>41</v>
      </c>
      <c r="D479" t="s">
        <v>120</v>
      </c>
      <c r="E479" t="s">
        <v>116</v>
      </c>
      <c r="F479" t="s">
        <v>117</v>
      </c>
      <c r="H479" t="s">
        <v>216</v>
      </c>
      <c r="I479" t="str">
        <f>"101050002022664"</f>
        <v>101050002022664</v>
      </c>
      <c r="J479" t="str">
        <f t="shared" si="97"/>
        <v>514913</v>
      </c>
      <c r="K479" t="s">
        <v>93</v>
      </c>
      <c r="L479">
        <v>91</v>
      </c>
      <c r="M479">
        <v>91</v>
      </c>
      <c r="N479">
        <v>0</v>
      </c>
      <c r="O479" s="1">
        <v>45583.51284722222</v>
      </c>
      <c r="P479" t="s">
        <v>122</v>
      </c>
    </row>
    <row r="480" spans="1:16" x14ac:dyDescent="0.3">
      <c r="A480" t="s">
        <v>25</v>
      </c>
      <c r="B480" s="1">
        <v>45583.510914351849</v>
      </c>
      <c r="C480" t="str">
        <f>"38"</f>
        <v>38</v>
      </c>
      <c r="D480" t="s">
        <v>115</v>
      </c>
      <c r="E480" t="s">
        <v>116</v>
      </c>
      <c r="F480" t="s">
        <v>117</v>
      </c>
      <c r="H480" t="s">
        <v>217</v>
      </c>
      <c r="L480">
        <v>0</v>
      </c>
      <c r="M480">
        <v>0</v>
      </c>
      <c r="N480">
        <v>0</v>
      </c>
      <c r="O480" s="1">
        <v>45583.510914351849</v>
      </c>
      <c r="P480" t="s">
        <v>119</v>
      </c>
    </row>
    <row r="481" spans="1:16" x14ac:dyDescent="0.3">
      <c r="A481" t="s">
        <v>25</v>
      </c>
      <c r="B481" s="1">
        <v>45583.510914351849</v>
      </c>
      <c r="C481" t="str">
        <f t="shared" ref="C481:C487" si="98">"41"</f>
        <v>41</v>
      </c>
      <c r="D481" t="s">
        <v>120</v>
      </c>
      <c r="E481" t="s">
        <v>116</v>
      </c>
      <c r="F481" t="s">
        <v>117</v>
      </c>
      <c r="H481" t="s">
        <v>217</v>
      </c>
      <c r="I481" t="str">
        <f>"101050002024245"</f>
        <v>101050002024245</v>
      </c>
      <c r="J481" t="str">
        <f t="shared" ref="J481:J487" si="99">"515122"</f>
        <v>515122</v>
      </c>
      <c r="K481" t="s">
        <v>4</v>
      </c>
      <c r="L481">
        <v>49</v>
      </c>
      <c r="M481">
        <v>49</v>
      </c>
      <c r="N481">
        <v>0</v>
      </c>
      <c r="O481" s="1">
        <v>45583.510914351849</v>
      </c>
      <c r="P481" t="s">
        <v>119</v>
      </c>
    </row>
    <row r="482" spans="1:16" x14ac:dyDescent="0.3">
      <c r="A482" t="s">
        <v>25</v>
      </c>
      <c r="B482" s="1">
        <v>45583.51090277778</v>
      </c>
      <c r="C482" t="str">
        <f t="shared" si="98"/>
        <v>41</v>
      </c>
      <c r="D482" t="s">
        <v>120</v>
      </c>
      <c r="E482" t="s">
        <v>116</v>
      </c>
      <c r="F482" t="s">
        <v>117</v>
      </c>
      <c r="H482" t="s">
        <v>217</v>
      </c>
      <c r="I482" t="str">
        <f>"101050002024632"</f>
        <v>101050002024632</v>
      </c>
      <c r="J482" t="str">
        <f t="shared" si="99"/>
        <v>515122</v>
      </c>
      <c r="K482" t="s">
        <v>4</v>
      </c>
      <c r="L482">
        <v>49</v>
      </c>
      <c r="M482">
        <v>49</v>
      </c>
      <c r="N482">
        <v>0</v>
      </c>
      <c r="O482" s="1">
        <v>45583.51090277778</v>
      </c>
      <c r="P482" t="s">
        <v>119</v>
      </c>
    </row>
    <row r="483" spans="1:16" x14ac:dyDescent="0.3">
      <c r="A483" t="s">
        <v>25</v>
      </c>
      <c r="B483" s="1">
        <v>45583.51090277778</v>
      </c>
      <c r="C483" t="str">
        <f t="shared" si="98"/>
        <v>41</v>
      </c>
      <c r="D483" t="s">
        <v>120</v>
      </c>
      <c r="E483" t="s">
        <v>116</v>
      </c>
      <c r="F483" t="s">
        <v>117</v>
      </c>
      <c r="H483" t="s">
        <v>217</v>
      </c>
      <c r="I483" t="str">
        <f>"101050002023522"</f>
        <v>101050002023522</v>
      </c>
      <c r="J483" t="str">
        <f t="shared" si="99"/>
        <v>515122</v>
      </c>
      <c r="K483" t="s">
        <v>4</v>
      </c>
      <c r="L483">
        <v>49</v>
      </c>
      <c r="M483">
        <v>49</v>
      </c>
      <c r="N483">
        <v>0</v>
      </c>
      <c r="O483" s="1">
        <v>45583.51090277778</v>
      </c>
      <c r="P483" t="s">
        <v>119</v>
      </c>
    </row>
    <row r="484" spans="1:16" x14ac:dyDescent="0.3">
      <c r="A484" t="s">
        <v>25</v>
      </c>
      <c r="B484" s="1">
        <v>45583.51090277778</v>
      </c>
      <c r="C484" t="str">
        <f t="shared" si="98"/>
        <v>41</v>
      </c>
      <c r="D484" t="s">
        <v>120</v>
      </c>
      <c r="E484" t="s">
        <v>116</v>
      </c>
      <c r="F484" t="s">
        <v>117</v>
      </c>
      <c r="H484" t="s">
        <v>217</v>
      </c>
      <c r="I484" t="str">
        <f>"101050002022090"</f>
        <v>101050002022090</v>
      </c>
      <c r="J484" t="str">
        <f t="shared" si="99"/>
        <v>515122</v>
      </c>
      <c r="K484" t="s">
        <v>4</v>
      </c>
      <c r="L484">
        <v>49</v>
      </c>
      <c r="M484">
        <v>49</v>
      </c>
      <c r="N484">
        <v>0</v>
      </c>
      <c r="O484" s="1">
        <v>45583.51090277778</v>
      </c>
      <c r="P484" t="s">
        <v>119</v>
      </c>
    </row>
    <row r="485" spans="1:16" x14ac:dyDescent="0.3">
      <c r="A485" t="s">
        <v>25</v>
      </c>
      <c r="B485" s="1">
        <v>45583.51090277778</v>
      </c>
      <c r="C485" t="str">
        <f t="shared" si="98"/>
        <v>41</v>
      </c>
      <c r="D485" t="s">
        <v>120</v>
      </c>
      <c r="E485" t="s">
        <v>116</v>
      </c>
      <c r="F485" t="s">
        <v>117</v>
      </c>
      <c r="H485" t="s">
        <v>217</v>
      </c>
      <c r="I485" t="str">
        <f>"101050002022468"</f>
        <v>101050002022468</v>
      </c>
      <c r="J485" t="str">
        <f t="shared" si="99"/>
        <v>515122</v>
      </c>
      <c r="K485" t="s">
        <v>4</v>
      </c>
      <c r="L485">
        <v>49</v>
      </c>
      <c r="M485">
        <v>49</v>
      </c>
      <c r="N485">
        <v>0</v>
      </c>
      <c r="O485" s="1">
        <v>45583.51090277778</v>
      </c>
      <c r="P485" t="s">
        <v>119</v>
      </c>
    </row>
    <row r="486" spans="1:16" x14ac:dyDescent="0.3">
      <c r="A486" t="s">
        <v>25</v>
      </c>
      <c r="B486" s="1">
        <v>45583.51090277778</v>
      </c>
      <c r="C486" t="str">
        <f t="shared" si="98"/>
        <v>41</v>
      </c>
      <c r="D486" t="s">
        <v>120</v>
      </c>
      <c r="E486" t="s">
        <v>116</v>
      </c>
      <c r="F486" t="s">
        <v>117</v>
      </c>
      <c r="H486" t="s">
        <v>217</v>
      </c>
      <c r="I486" t="str">
        <f>"101050002022511"</f>
        <v>101050002022511</v>
      </c>
      <c r="J486" t="str">
        <f t="shared" si="99"/>
        <v>515122</v>
      </c>
      <c r="K486" t="s">
        <v>4</v>
      </c>
      <c r="L486">
        <v>49</v>
      </c>
      <c r="M486">
        <v>49</v>
      </c>
      <c r="N486">
        <v>0</v>
      </c>
      <c r="O486" s="1">
        <v>45583.51090277778</v>
      </c>
      <c r="P486" t="s">
        <v>119</v>
      </c>
    </row>
    <row r="487" spans="1:16" x14ac:dyDescent="0.3">
      <c r="A487" t="s">
        <v>25</v>
      </c>
      <c r="B487" s="1">
        <v>45583.51090277778</v>
      </c>
      <c r="C487" t="str">
        <f t="shared" si="98"/>
        <v>41</v>
      </c>
      <c r="D487" t="s">
        <v>120</v>
      </c>
      <c r="E487" t="s">
        <v>116</v>
      </c>
      <c r="F487" t="s">
        <v>117</v>
      </c>
      <c r="H487" t="s">
        <v>217</v>
      </c>
      <c r="I487" t="str">
        <f>"101050002022302"</f>
        <v>101050002022302</v>
      </c>
      <c r="J487" t="str">
        <f t="shared" si="99"/>
        <v>515122</v>
      </c>
      <c r="K487" t="s">
        <v>4</v>
      </c>
      <c r="L487">
        <v>49</v>
      </c>
      <c r="M487">
        <v>49</v>
      </c>
      <c r="N487">
        <v>0</v>
      </c>
      <c r="O487" s="1">
        <v>45583.51090277778</v>
      </c>
      <c r="P487" t="s">
        <v>119</v>
      </c>
    </row>
    <row r="488" spans="1:16" x14ac:dyDescent="0.3">
      <c r="A488" t="s">
        <v>25</v>
      </c>
      <c r="B488" s="1">
        <v>45583.509953703702</v>
      </c>
      <c r="C488" t="str">
        <f>"38"</f>
        <v>38</v>
      </c>
      <c r="D488" t="s">
        <v>115</v>
      </c>
      <c r="E488" t="s">
        <v>116</v>
      </c>
      <c r="F488" t="s">
        <v>117</v>
      </c>
      <c r="H488" t="s">
        <v>218</v>
      </c>
      <c r="L488">
        <v>0</v>
      </c>
      <c r="M488">
        <v>0</v>
      </c>
      <c r="N488">
        <v>0</v>
      </c>
      <c r="O488" s="1">
        <v>45583.509953703702</v>
      </c>
      <c r="P488" t="s">
        <v>119</v>
      </c>
    </row>
    <row r="489" spans="1:16" x14ac:dyDescent="0.3">
      <c r="A489" t="s">
        <v>25</v>
      </c>
      <c r="B489" s="1">
        <v>45583.509953703702</v>
      </c>
      <c r="C489" t="str">
        <f t="shared" ref="C489:C495" si="100">"41"</f>
        <v>41</v>
      </c>
      <c r="D489" t="s">
        <v>120</v>
      </c>
      <c r="E489" t="s">
        <v>116</v>
      </c>
      <c r="F489" t="s">
        <v>117</v>
      </c>
      <c r="H489" t="s">
        <v>218</v>
      </c>
      <c r="I489" t="str">
        <f>"101050002023164"</f>
        <v>101050002023164</v>
      </c>
      <c r="J489" t="str">
        <f t="shared" ref="J489:J495" si="101">"515122"</f>
        <v>515122</v>
      </c>
      <c r="K489" t="s">
        <v>4</v>
      </c>
      <c r="L489">
        <v>49</v>
      </c>
      <c r="M489">
        <v>49</v>
      </c>
      <c r="N489">
        <v>0</v>
      </c>
      <c r="O489" s="1">
        <v>45583.509953703702</v>
      </c>
      <c r="P489" t="s">
        <v>119</v>
      </c>
    </row>
    <row r="490" spans="1:16" x14ac:dyDescent="0.3">
      <c r="A490" t="s">
        <v>25</v>
      </c>
      <c r="B490" s="1">
        <v>45583.509942129633</v>
      </c>
      <c r="C490" t="str">
        <f t="shared" si="100"/>
        <v>41</v>
      </c>
      <c r="D490" t="s">
        <v>120</v>
      </c>
      <c r="E490" t="s">
        <v>116</v>
      </c>
      <c r="F490" t="s">
        <v>117</v>
      </c>
      <c r="H490" t="s">
        <v>218</v>
      </c>
      <c r="I490" t="str">
        <f>"101050002023163"</f>
        <v>101050002023163</v>
      </c>
      <c r="J490" t="str">
        <f t="shared" si="101"/>
        <v>515122</v>
      </c>
      <c r="K490" t="s">
        <v>4</v>
      </c>
      <c r="L490">
        <v>49</v>
      </c>
      <c r="M490">
        <v>49</v>
      </c>
      <c r="N490">
        <v>0</v>
      </c>
      <c r="O490" s="1">
        <v>45583.509942129633</v>
      </c>
      <c r="P490" t="s">
        <v>119</v>
      </c>
    </row>
    <row r="491" spans="1:16" x14ac:dyDescent="0.3">
      <c r="A491" t="s">
        <v>25</v>
      </c>
      <c r="B491" s="1">
        <v>45583.509942129633</v>
      </c>
      <c r="C491" t="str">
        <f t="shared" si="100"/>
        <v>41</v>
      </c>
      <c r="D491" t="s">
        <v>120</v>
      </c>
      <c r="E491" t="s">
        <v>116</v>
      </c>
      <c r="F491" t="s">
        <v>117</v>
      </c>
      <c r="H491" t="s">
        <v>218</v>
      </c>
      <c r="I491" t="str">
        <f>"101050002023069"</f>
        <v>101050002023069</v>
      </c>
      <c r="J491" t="str">
        <f t="shared" si="101"/>
        <v>515122</v>
      </c>
      <c r="K491" t="s">
        <v>4</v>
      </c>
      <c r="L491">
        <v>49</v>
      </c>
      <c r="M491">
        <v>49</v>
      </c>
      <c r="N491">
        <v>0</v>
      </c>
      <c r="O491" s="1">
        <v>45583.509942129633</v>
      </c>
      <c r="P491" t="s">
        <v>119</v>
      </c>
    </row>
    <row r="492" spans="1:16" x14ac:dyDescent="0.3">
      <c r="A492" t="s">
        <v>25</v>
      </c>
      <c r="B492" s="1">
        <v>45583.509942129633</v>
      </c>
      <c r="C492" t="str">
        <f t="shared" si="100"/>
        <v>41</v>
      </c>
      <c r="D492" t="s">
        <v>120</v>
      </c>
      <c r="E492" t="s">
        <v>116</v>
      </c>
      <c r="F492" t="s">
        <v>117</v>
      </c>
      <c r="H492" t="s">
        <v>218</v>
      </c>
      <c r="I492" t="str">
        <f>"101050002023106"</f>
        <v>101050002023106</v>
      </c>
      <c r="J492" t="str">
        <f t="shared" si="101"/>
        <v>515122</v>
      </c>
      <c r="K492" t="s">
        <v>4</v>
      </c>
      <c r="L492">
        <v>49</v>
      </c>
      <c r="M492">
        <v>49</v>
      </c>
      <c r="N492">
        <v>0</v>
      </c>
      <c r="O492" s="1">
        <v>45583.509942129633</v>
      </c>
      <c r="P492" t="s">
        <v>119</v>
      </c>
    </row>
    <row r="493" spans="1:16" x14ac:dyDescent="0.3">
      <c r="A493" t="s">
        <v>25</v>
      </c>
      <c r="B493" s="1">
        <v>45583.509942129633</v>
      </c>
      <c r="C493" t="str">
        <f t="shared" si="100"/>
        <v>41</v>
      </c>
      <c r="D493" t="s">
        <v>120</v>
      </c>
      <c r="E493" t="s">
        <v>116</v>
      </c>
      <c r="F493" t="s">
        <v>117</v>
      </c>
      <c r="H493" t="s">
        <v>218</v>
      </c>
      <c r="I493" t="str">
        <f>"101050002022899"</f>
        <v>101050002022899</v>
      </c>
      <c r="J493" t="str">
        <f t="shared" si="101"/>
        <v>515122</v>
      </c>
      <c r="K493" t="s">
        <v>4</v>
      </c>
      <c r="L493">
        <v>49</v>
      </c>
      <c r="M493">
        <v>49</v>
      </c>
      <c r="N493">
        <v>0</v>
      </c>
      <c r="O493" s="1">
        <v>45583.509942129633</v>
      </c>
      <c r="P493" t="s">
        <v>119</v>
      </c>
    </row>
    <row r="494" spans="1:16" x14ac:dyDescent="0.3">
      <c r="A494" t="s">
        <v>25</v>
      </c>
      <c r="B494" s="1">
        <v>45583.509942129633</v>
      </c>
      <c r="C494" t="str">
        <f t="shared" si="100"/>
        <v>41</v>
      </c>
      <c r="D494" t="s">
        <v>120</v>
      </c>
      <c r="E494" t="s">
        <v>116</v>
      </c>
      <c r="F494" t="s">
        <v>117</v>
      </c>
      <c r="H494" t="s">
        <v>218</v>
      </c>
      <c r="I494" t="str">
        <f>"101050002022763"</f>
        <v>101050002022763</v>
      </c>
      <c r="J494" t="str">
        <f t="shared" si="101"/>
        <v>515122</v>
      </c>
      <c r="K494" t="s">
        <v>4</v>
      </c>
      <c r="L494">
        <v>49</v>
      </c>
      <c r="M494">
        <v>49</v>
      </c>
      <c r="N494">
        <v>0</v>
      </c>
      <c r="O494" s="1">
        <v>45583.509942129633</v>
      </c>
      <c r="P494" t="s">
        <v>119</v>
      </c>
    </row>
    <row r="495" spans="1:16" x14ac:dyDescent="0.3">
      <c r="A495" t="s">
        <v>25</v>
      </c>
      <c r="B495" s="1">
        <v>45583.509942129633</v>
      </c>
      <c r="C495" t="str">
        <f t="shared" si="100"/>
        <v>41</v>
      </c>
      <c r="D495" t="s">
        <v>120</v>
      </c>
      <c r="E495" t="s">
        <v>116</v>
      </c>
      <c r="F495" t="s">
        <v>117</v>
      </c>
      <c r="H495" t="s">
        <v>218</v>
      </c>
      <c r="I495" t="str">
        <f>"101050002022762"</f>
        <v>101050002022762</v>
      </c>
      <c r="J495" t="str">
        <f t="shared" si="101"/>
        <v>515122</v>
      </c>
      <c r="K495" t="s">
        <v>4</v>
      </c>
      <c r="L495">
        <v>49</v>
      </c>
      <c r="M495">
        <v>49</v>
      </c>
      <c r="N495">
        <v>0</v>
      </c>
      <c r="O495" s="1">
        <v>45583.509942129633</v>
      </c>
      <c r="P495" t="s">
        <v>119</v>
      </c>
    </row>
    <row r="496" spans="1:16" x14ac:dyDescent="0.3">
      <c r="A496" t="s">
        <v>25</v>
      </c>
      <c r="B496" s="1">
        <v>45583.506863425922</v>
      </c>
      <c r="C496" t="str">
        <f>"38"</f>
        <v>38</v>
      </c>
      <c r="D496" t="s">
        <v>115</v>
      </c>
      <c r="E496" t="s">
        <v>116</v>
      </c>
      <c r="F496" t="s">
        <v>117</v>
      </c>
      <c r="H496" t="s">
        <v>219</v>
      </c>
      <c r="L496">
        <v>0</v>
      </c>
      <c r="M496">
        <v>0</v>
      </c>
      <c r="N496">
        <v>0</v>
      </c>
      <c r="O496" s="1">
        <v>45583.506863425922</v>
      </c>
      <c r="P496" t="s">
        <v>119</v>
      </c>
    </row>
    <row r="497" spans="1:16" x14ac:dyDescent="0.3">
      <c r="A497" t="s">
        <v>25</v>
      </c>
      <c r="B497" s="1">
        <v>45583.506863425922</v>
      </c>
      <c r="C497" t="str">
        <f>"40"</f>
        <v>40</v>
      </c>
      <c r="D497" t="s">
        <v>220</v>
      </c>
      <c r="E497" t="s">
        <v>116</v>
      </c>
      <c r="F497" t="s">
        <v>117</v>
      </c>
      <c r="G497" t="s">
        <v>221</v>
      </c>
      <c r="H497" t="s">
        <v>219</v>
      </c>
      <c r="I497" t="str">
        <f>"101050002023020"</f>
        <v>101050002023020</v>
      </c>
      <c r="J497" t="str">
        <f t="shared" ref="J497:J503" si="102">"515122"</f>
        <v>515122</v>
      </c>
      <c r="K497" t="s">
        <v>4</v>
      </c>
      <c r="L497">
        <v>49</v>
      </c>
      <c r="M497">
        <v>0</v>
      </c>
      <c r="N497">
        <v>-49</v>
      </c>
      <c r="O497" s="1">
        <v>45583.506863425922</v>
      </c>
      <c r="P497" t="s">
        <v>119</v>
      </c>
    </row>
    <row r="498" spans="1:16" x14ac:dyDescent="0.3">
      <c r="A498" t="s">
        <v>25</v>
      </c>
      <c r="B498" s="1">
        <v>45583.506851851853</v>
      </c>
      <c r="C498" t="str">
        <f t="shared" ref="C498:C503" si="103">"41"</f>
        <v>41</v>
      </c>
      <c r="D498" t="s">
        <v>120</v>
      </c>
      <c r="E498" t="s">
        <v>116</v>
      </c>
      <c r="F498" t="s">
        <v>117</v>
      </c>
      <c r="H498" t="s">
        <v>219</v>
      </c>
      <c r="I498" t="str">
        <f>"101050002021638"</f>
        <v>101050002021638</v>
      </c>
      <c r="J498" t="str">
        <f t="shared" si="102"/>
        <v>515122</v>
      </c>
      <c r="K498" t="s">
        <v>4</v>
      </c>
      <c r="L498">
        <v>49</v>
      </c>
      <c r="M498">
        <v>49</v>
      </c>
      <c r="N498">
        <v>0</v>
      </c>
      <c r="O498" s="1">
        <v>45583.506851851853</v>
      </c>
      <c r="P498" t="s">
        <v>119</v>
      </c>
    </row>
    <row r="499" spans="1:16" x14ac:dyDescent="0.3">
      <c r="A499" t="s">
        <v>25</v>
      </c>
      <c r="B499" s="1">
        <v>45583.506851851853</v>
      </c>
      <c r="C499" t="str">
        <f t="shared" si="103"/>
        <v>41</v>
      </c>
      <c r="D499" t="s">
        <v>120</v>
      </c>
      <c r="E499" t="s">
        <v>116</v>
      </c>
      <c r="F499" t="s">
        <v>117</v>
      </c>
      <c r="H499" t="s">
        <v>219</v>
      </c>
      <c r="I499" t="str">
        <f>"101050002021639"</f>
        <v>101050002021639</v>
      </c>
      <c r="J499" t="str">
        <f t="shared" si="102"/>
        <v>515122</v>
      </c>
      <c r="K499" t="s">
        <v>4</v>
      </c>
      <c r="L499">
        <v>49</v>
      </c>
      <c r="M499">
        <v>49</v>
      </c>
      <c r="N499">
        <v>0</v>
      </c>
      <c r="O499" s="1">
        <v>45583.506851851853</v>
      </c>
      <c r="P499" t="s">
        <v>119</v>
      </c>
    </row>
    <row r="500" spans="1:16" x14ac:dyDescent="0.3">
      <c r="A500" t="s">
        <v>25</v>
      </c>
      <c r="B500" s="1">
        <v>45583.506851851853</v>
      </c>
      <c r="C500" t="str">
        <f t="shared" si="103"/>
        <v>41</v>
      </c>
      <c r="D500" t="s">
        <v>120</v>
      </c>
      <c r="E500" t="s">
        <v>116</v>
      </c>
      <c r="F500" t="s">
        <v>117</v>
      </c>
      <c r="H500" t="s">
        <v>219</v>
      </c>
      <c r="I500" t="str">
        <f>"101050002022653"</f>
        <v>101050002022653</v>
      </c>
      <c r="J500" t="str">
        <f t="shared" si="102"/>
        <v>515122</v>
      </c>
      <c r="K500" t="s">
        <v>4</v>
      </c>
      <c r="L500">
        <v>49</v>
      </c>
      <c r="M500">
        <v>49</v>
      </c>
      <c r="N500">
        <v>0</v>
      </c>
      <c r="O500" s="1">
        <v>45583.506851851853</v>
      </c>
      <c r="P500" t="s">
        <v>119</v>
      </c>
    </row>
    <row r="501" spans="1:16" x14ac:dyDescent="0.3">
      <c r="A501" t="s">
        <v>25</v>
      </c>
      <c r="B501" s="1">
        <v>45583.506851851853</v>
      </c>
      <c r="C501" t="str">
        <f t="shared" si="103"/>
        <v>41</v>
      </c>
      <c r="D501" t="s">
        <v>120</v>
      </c>
      <c r="E501" t="s">
        <v>116</v>
      </c>
      <c r="F501" t="s">
        <v>117</v>
      </c>
      <c r="H501" t="s">
        <v>219</v>
      </c>
      <c r="I501" t="str">
        <f>"101050002021640"</f>
        <v>101050002021640</v>
      </c>
      <c r="J501" t="str">
        <f t="shared" si="102"/>
        <v>515122</v>
      </c>
      <c r="K501" t="s">
        <v>4</v>
      </c>
      <c r="L501">
        <v>49</v>
      </c>
      <c r="M501">
        <v>49</v>
      </c>
      <c r="N501">
        <v>0</v>
      </c>
      <c r="O501" s="1">
        <v>45583.506851851853</v>
      </c>
      <c r="P501" t="s">
        <v>119</v>
      </c>
    </row>
    <row r="502" spans="1:16" x14ac:dyDescent="0.3">
      <c r="A502" t="s">
        <v>25</v>
      </c>
      <c r="B502" s="1">
        <v>45583.506851851853</v>
      </c>
      <c r="C502" t="str">
        <f t="shared" si="103"/>
        <v>41</v>
      </c>
      <c r="D502" t="s">
        <v>120</v>
      </c>
      <c r="E502" t="s">
        <v>116</v>
      </c>
      <c r="F502" t="s">
        <v>117</v>
      </c>
      <c r="H502" t="s">
        <v>219</v>
      </c>
      <c r="I502" t="str">
        <f>"101050002022651"</f>
        <v>101050002022651</v>
      </c>
      <c r="J502" t="str">
        <f t="shared" si="102"/>
        <v>515122</v>
      </c>
      <c r="K502" t="s">
        <v>4</v>
      </c>
      <c r="L502">
        <v>49</v>
      </c>
      <c r="M502">
        <v>49</v>
      </c>
      <c r="N502">
        <v>0</v>
      </c>
      <c r="O502" s="1">
        <v>45583.506851851853</v>
      </c>
      <c r="P502" t="s">
        <v>119</v>
      </c>
    </row>
    <row r="503" spans="1:16" x14ac:dyDescent="0.3">
      <c r="A503" t="s">
        <v>25</v>
      </c>
      <c r="B503" s="1">
        <v>45583.506851851853</v>
      </c>
      <c r="C503" t="str">
        <f t="shared" si="103"/>
        <v>41</v>
      </c>
      <c r="D503" t="s">
        <v>120</v>
      </c>
      <c r="E503" t="s">
        <v>116</v>
      </c>
      <c r="F503" t="s">
        <v>117</v>
      </c>
      <c r="H503" t="s">
        <v>219</v>
      </c>
      <c r="I503" t="str">
        <f>"101050002022709"</f>
        <v>101050002022709</v>
      </c>
      <c r="J503" t="str">
        <f t="shared" si="102"/>
        <v>515122</v>
      </c>
      <c r="K503" t="s">
        <v>4</v>
      </c>
      <c r="L503">
        <v>49</v>
      </c>
      <c r="M503">
        <v>49</v>
      </c>
      <c r="N503">
        <v>0</v>
      </c>
      <c r="O503" s="1">
        <v>45583.506851851853</v>
      </c>
      <c r="P503" t="s">
        <v>119</v>
      </c>
    </row>
    <row r="504" spans="1:16" x14ac:dyDescent="0.3">
      <c r="A504" t="s">
        <v>25</v>
      </c>
      <c r="B504" s="1">
        <v>45583.49627314815</v>
      </c>
      <c r="C504" t="str">
        <f>"38"</f>
        <v>38</v>
      </c>
      <c r="D504" t="s">
        <v>115</v>
      </c>
      <c r="E504" t="s">
        <v>116</v>
      </c>
      <c r="F504" t="s">
        <v>117</v>
      </c>
      <c r="H504" t="s">
        <v>222</v>
      </c>
      <c r="L504">
        <v>0</v>
      </c>
      <c r="M504">
        <v>0</v>
      </c>
      <c r="N504">
        <v>0</v>
      </c>
      <c r="O504" s="1">
        <v>45583.49627314815</v>
      </c>
      <c r="P504" t="s">
        <v>125</v>
      </c>
    </row>
    <row r="505" spans="1:16" x14ac:dyDescent="0.3">
      <c r="A505" t="s">
        <v>25</v>
      </c>
      <c r="B505" s="1">
        <v>45583.49627314815</v>
      </c>
      <c r="C505" t="str">
        <f t="shared" ref="C505:C511" si="104">"41"</f>
        <v>41</v>
      </c>
      <c r="D505" t="s">
        <v>120</v>
      </c>
      <c r="E505" t="s">
        <v>116</v>
      </c>
      <c r="F505" t="s">
        <v>117</v>
      </c>
      <c r="H505" t="s">
        <v>222</v>
      </c>
      <c r="I505" t="str">
        <f>"101050002025211"</f>
        <v>101050002025211</v>
      </c>
      <c r="J505" t="str">
        <f t="shared" ref="J505:J511" si="105">"127802"</f>
        <v>127802</v>
      </c>
      <c r="K505" t="s">
        <v>6</v>
      </c>
      <c r="L505">
        <v>91</v>
      </c>
      <c r="M505">
        <v>91</v>
      </c>
      <c r="N505">
        <v>0</v>
      </c>
      <c r="O505" s="1">
        <v>45583.49627314815</v>
      </c>
      <c r="P505" t="s">
        <v>125</v>
      </c>
    </row>
    <row r="506" spans="1:16" x14ac:dyDescent="0.3">
      <c r="A506" t="s">
        <v>25</v>
      </c>
      <c r="B506" s="1">
        <v>45583.49627314815</v>
      </c>
      <c r="C506" t="str">
        <f t="shared" si="104"/>
        <v>41</v>
      </c>
      <c r="D506" t="s">
        <v>120</v>
      </c>
      <c r="E506" t="s">
        <v>116</v>
      </c>
      <c r="F506" t="s">
        <v>117</v>
      </c>
      <c r="H506" t="s">
        <v>222</v>
      </c>
      <c r="I506" t="str">
        <f>"101620000471663"</f>
        <v>101620000471663</v>
      </c>
      <c r="J506" t="str">
        <f t="shared" si="105"/>
        <v>127802</v>
      </c>
      <c r="K506" t="s">
        <v>6</v>
      </c>
      <c r="L506">
        <v>91</v>
      </c>
      <c r="M506">
        <v>91</v>
      </c>
      <c r="N506">
        <v>0</v>
      </c>
      <c r="O506" s="1">
        <v>45583.49627314815</v>
      </c>
      <c r="P506" t="s">
        <v>125</v>
      </c>
    </row>
    <row r="507" spans="1:16" x14ac:dyDescent="0.3">
      <c r="A507" t="s">
        <v>25</v>
      </c>
      <c r="B507" s="1">
        <v>45583.49627314815</v>
      </c>
      <c r="C507" t="str">
        <f t="shared" si="104"/>
        <v>41</v>
      </c>
      <c r="D507" t="s">
        <v>120</v>
      </c>
      <c r="E507" t="s">
        <v>116</v>
      </c>
      <c r="F507" t="s">
        <v>117</v>
      </c>
      <c r="H507" t="s">
        <v>222</v>
      </c>
      <c r="I507" t="str">
        <f>"101620000471661"</f>
        <v>101620000471661</v>
      </c>
      <c r="J507" t="str">
        <f t="shared" si="105"/>
        <v>127802</v>
      </c>
      <c r="K507" t="s">
        <v>6</v>
      </c>
      <c r="L507">
        <v>91</v>
      </c>
      <c r="M507">
        <v>91</v>
      </c>
      <c r="N507">
        <v>0</v>
      </c>
      <c r="O507" s="1">
        <v>45583.49627314815</v>
      </c>
      <c r="P507" t="s">
        <v>125</v>
      </c>
    </row>
    <row r="508" spans="1:16" x14ac:dyDescent="0.3">
      <c r="A508" t="s">
        <v>25</v>
      </c>
      <c r="B508" s="1">
        <v>45583.49627314815</v>
      </c>
      <c r="C508" t="str">
        <f t="shared" si="104"/>
        <v>41</v>
      </c>
      <c r="D508" t="s">
        <v>120</v>
      </c>
      <c r="E508" t="s">
        <v>116</v>
      </c>
      <c r="F508" t="s">
        <v>117</v>
      </c>
      <c r="H508" t="s">
        <v>222</v>
      </c>
      <c r="I508" t="str">
        <f>"101050002021410"</f>
        <v>101050002021410</v>
      </c>
      <c r="J508" t="str">
        <f t="shared" si="105"/>
        <v>127802</v>
      </c>
      <c r="K508" t="s">
        <v>6</v>
      </c>
      <c r="L508">
        <v>91</v>
      </c>
      <c r="M508">
        <v>91</v>
      </c>
      <c r="N508">
        <v>0</v>
      </c>
      <c r="O508" s="1">
        <v>45583.49627314815</v>
      </c>
      <c r="P508" t="s">
        <v>125</v>
      </c>
    </row>
    <row r="509" spans="1:16" x14ac:dyDescent="0.3">
      <c r="A509" t="s">
        <v>25</v>
      </c>
      <c r="B509" s="1">
        <v>45583.49627314815</v>
      </c>
      <c r="C509" t="str">
        <f t="shared" si="104"/>
        <v>41</v>
      </c>
      <c r="D509" t="s">
        <v>120</v>
      </c>
      <c r="E509" t="s">
        <v>116</v>
      </c>
      <c r="F509" t="s">
        <v>117</v>
      </c>
      <c r="H509" t="s">
        <v>222</v>
      </c>
      <c r="I509" t="str">
        <f>"101050002020129"</f>
        <v>101050002020129</v>
      </c>
      <c r="J509" t="str">
        <f t="shared" si="105"/>
        <v>127802</v>
      </c>
      <c r="K509" t="s">
        <v>6</v>
      </c>
      <c r="L509">
        <v>91</v>
      </c>
      <c r="M509">
        <v>91</v>
      </c>
      <c r="N509">
        <v>0</v>
      </c>
      <c r="O509" s="1">
        <v>45583.49627314815</v>
      </c>
      <c r="P509" t="s">
        <v>125</v>
      </c>
    </row>
    <row r="510" spans="1:16" x14ac:dyDescent="0.3">
      <c r="A510" t="s">
        <v>25</v>
      </c>
      <c r="B510" s="1">
        <v>45583.49627314815</v>
      </c>
      <c r="C510" t="str">
        <f t="shared" si="104"/>
        <v>41</v>
      </c>
      <c r="D510" t="s">
        <v>120</v>
      </c>
      <c r="E510" t="s">
        <v>116</v>
      </c>
      <c r="F510" t="s">
        <v>117</v>
      </c>
      <c r="H510" t="s">
        <v>222</v>
      </c>
      <c r="I510" t="str">
        <f>"101050002016313"</f>
        <v>101050002016313</v>
      </c>
      <c r="J510" t="str">
        <f t="shared" si="105"/>
        <v>127802</v>
      </c>
      <c r="K510" t="s">
        <v>6</v>
      </c>
      <c r="L510">
        <v>91</v>
      </c>
      <c r="M510">
        <v>91</v>
      </c>
      <c r="N510">
        <v>0</v>
      </c>
      <c r="O510" s="1">
        <v>45583.49627314815</v>
      </c>
      <c r="P510" t="s">
        <v>125</v>
      </c>
    </row>
    <row r="511" spans="1:16" x14ac:dyDescent="0.3">
      <c r="A511" t="s">
        <v>25</v>
      </c>
      <c r="B511" s="1">
        <v>45583.496261574073</v>
      </c>
      <c r="C511" t="str">
        <f t="shared" si="104"/>
        <v>41</v>
      </c>
      <c r="D511" t="s">
        <v>120</v>
      </c>
      <c r="E511" t="s">
        <v>116</v>
      </c>
      <c r="F511" t="s">
        <v>117</v>
      </c>
      <c r="H511" t="s">
        <v>222</v>
      </c>
      <c r="I511" t="str">
        <f>"101050002016360"</f>
        <v>101050002016360</v>
      </c>
      <c r="J511" t="str">
        <f t="shared" si="105"/>
        <v>127802</v>
      </c>
      <c r="K511" t="s">
        <v>6</v>
      </c>
      <c r="L511">
        <v>91</v>
      </c>
      <c r="M511">
        <v>91</v>
      </c>
      <c r="N511">
        <v>0</v>
      </c>
      <c r="O511" s="1">
        <v>45583.496261574073</v>
      </c>
      <c r="P511" t="s">
        <v>125</v>
      </c>
    </row>
    <row r="512" spans="1:16" x14ac:dyDescent="0.3">
      <c r="A512" t="s">
        <v>25</v>
      </c>
      <c r="B512" s="1">
        <v>45583.49527777778</v>
      </c>
      <c r="C512" t="str">
        <f>"38"</f>
        <v>38</v>
      </c>
      <c r="D512" t="s">
        <v>115</v>
      </c>
      <c r="E512" t="s">
        <v>116</v>
      </c>
      <c r="F512" t="s">
        <v>117</v>
      </c>
      <c r="H512" t="s">
        <v>223</v>
      </c>
      <c r="L512">
        <v>0</v>
      </c>
      <c r="M512">
        <v>0</v>
      </c>
      <c r="N512">
        <v>0</v>
      </c>
      <c r="O512" s="1">
        <v>45583.49527777778</v>
      </c>
      <c r="P512" t="s">
        <v>125</v>
      </c>
    </row>
    <row r="513" spans="1:16" x14ac:dyDescent="0.3">
      <c r="A513" t="s">
        <v>25</v>
      </c>
      <c r="B513" s="1">
        <v>45583.49527777778</v>
      </c>
      <c r="C513" t="str">
        <f t="shared" ref="C513:C519" si="106">"41"</f>
        <v>41</v>
      </c>
      <c r="D513" t="s">
        <v>120</v>
      </c>
      <c r="E513" t="s">
        <v>116</v>
      </c>
      <c r="F513" t="s">
        <v>117</v>
      </c>
      <c r="H513" t="s">
        <v>223</v>
      </c>
      <c r="I513" t="str">
        <f>"101050002023866"</f>
        <v>101050002023866</v>
      </c>
      <c r="J513" t="str">
        <f t="shared" ref="J513:J519" si="107">"515122"</f>
        <v>515122</v>
      </c>
      <c r="K513" t="s">
        <v>4</v>
      </c>
      <c r="L513">
        <v>49</v>
      </c>
      <c r="M513">
        <v>49</v>
      </c>
      <c r="N513">
        <v>0</v>
      </c>
      <c r="O513" s="1">
        <v>45583.49527777778</v>
      </c>
      <c r="P513" t="s">
        <v>125</v>
      </c>
    </row>
    <row r="514" spans="1:16" x14ac:dyDescent="0.3">
      <c r="A514" t="s">
        <v>25</v>
      </c>
      <c r="B514" s="1">
        <v>45583.49527777778</v>
      </c>
      <c r="C514" t="str">
        <f t="shared" si="106"/>
        <v>41</v>
      </c>
      <c r="D514" t="s">
        <v>120</v>
      </c>
      <c r="E514" t="s">
        <v>116</v>
      </c>
      <c r="F514" t="s">
        <v>117</v>
      </c>
      <c r="H514" t="s">
        <v>223</v>
      </c>
      <c r="I514" t="str">
        <f>"101050002023875"</f>
        <v>101050002023875</v>
      </c>
      <c r="J514" t="str">
        <f t="shared" si="107"/>
        <v>515122</v>
      </c>
      <c r="K514" t="s">
        <v>4</v>
      </c>
      <c r="L514">
        <v>49</v>
      </c>
      <c r="M514">
        <v>49</v>
      </c>
      <c r="N514">
        <v>0</v>
      </c>
      <c r="O514" s="1">
        <v>45583.49527777778</v>
      </c>
      <c r="P514" t="s">
        <v>125</v>
      </c>
    </row>
    <row r="515" spans="1:16" x14ac:dyDescent="0.3">
      <c r="A515" t="s">
        <v>25</v>
      </c>
      <c r="B515" s="1">
        <v>45583.49527777778</v>
      </c>
      <c r="C515" t="str">
        <f t="shared" si="106"/>
        <v>41</v>
      </c>
      <c r="D515" t="s">
        <v>120</v>
      </c>
      <c r="E515" t="s">
        <v>116</v>
      </c>
      <c r="F515" t="s">
        <v>117</v>
      </c>
      <c r="H515" t="s">
        <v>223</v>
      </c>
      <c r="I515" t="str">
        <f>"101050002023903"</f>
        <v>101050002023903</v>
      </c>
      <c r="J515" t="str">
        <f t="shared" si="107"/>
        <v>515122</v>
      </c>
      <c r="K515" t="s">
        <v>4</v>
      </c>
      <c r="L515">
        <v>49</v>
      </c>
      <c r="M515">
        <v>49</v>
      </c>
      <c r="N515">
        <v>0</v>
      </c>
      <c r="O515" s="1">
        <v>45583.49527777778</v>
      </c>
      <c r="P515" t="s">
        <v>125</v>
      </c>
    </row>
    <row r="516" spans="1:16" x14ac:dyDescent="0.3">
      <c r="A516" t="s">
        <v>25</v>
      </c>
      <c r="B516" s="1">
        <v>45583.49527777778</v>
      </c>
      <c r="C516" t="str">
        <f t="shared" si="106"/>
        <v>41</v>
      </c>
      <c r="D516" t="s">
        <v>120</v>
      </c>
      <c r="E516" t="s">
        <v>116</v>
      </c>
      <c r="F516" t="s">
        <v>117</v>
      </c>
      <c r="H516" t="s">
        <v>223</v>
      </c>
      <c r="I516" t="str">
        <f>"101050002024072"</f>
        <v>101050002024072</v>
      </c>
      <c r="J516" t="str">
        <f t="shared" si="107"/>
        <v>515122</v>
      </c>
      <c r="K516" t="s">
        <v>4</v>
      </c>
      <c r="L516">
        <v>49</v>
      </c>
      <c r="M516">
        <v>49</v>
      </c>
      <c r="N516">
        <v>0</v>
      </c>
      <c r="O516" s="1">
        <v>45583.49527777778</v>
      </c>
      <c r="P516" t="s">
        <v>125</v>
      </c>
    </row>
    <row r="517" spans="1:16" x14ac:dyDescent="0.3">
      <c r="A517" t="s">
        <v>25</v>
      </c>
      <c r="B517" s="1">
        <v>45583.49527777778</v>
      </c>
      <c r="C517" t="str">
        <f t="shared" si="106"/>
        <v>41</v>
      </c>
      <c r="D517" t="s">
        <v>120</v>
      </c>
      <c r="E517" t="s">
        <v>116</v>
      </c>
      <c r="F517" t="s">
        <v>117</v>
      </c>
      <c r="H517" t="s">
        <v>223</v>
      </c>
      <c r="I517" t="str">
        <f>"101050002023874"</f>
        <v>101050002023874</v>
      </c>
      <c r="J517" t="str">
        <f t="shared" si="107"/>
        <v>515122</v>
      </c>
      <c r="K517" t="s">
        <v>4</v>
      </c>
      <c r="L517">
        <v>49</v>
      </c>
      <c r="M517">
        <v>49</v>
      </c>
      <c r="N517">
        <v>0</v>
      </c>
      <c r="O517" s="1">
        <v>45583.49527777778</v>
      </c>
      <c r="P517" t="s">
        <v>125</v>
      </c>
    </row>
    <row r="518" spans="1:16" x14ac:dyDescent="0.3">
      <c r="A518" t="s">
        <v>25</v>
      </c>
      <c r="B518" s="1">
        <v>45583.49527777778</v>
      </c>
      <c r="C518" t="str">
        <f t="shared" si="106"/>
        <v>41</v>
      </c>
      <c r="D518" t="s">
        <v>120</v>
      </c>
      <c r="E518" t="s">
        <v>116</v>
      </c>
      <c r="F518" t="s">
        <v>117</v>
      </c>
      <c r="H518" t="s">
        <v>223</v>
      </c>
      <c r="I518" t="str">
        <f>"101050002023728"</f>
        <v>101050002023728</v>
      </c>
      <c r="J518" t="str">
        <f t="shared" si="107"/>
        <v>515122</v>
      </c>
      <c r="K518" t="s">
        <v>4</v>
      </c>
      <c r="L518">
        <v>49</v>
      </c>
      <c r="M518">
        <v>49</v>
      </c>
      <c r="N518">
        <v>0</v>
      </c>
      <c r="O518" s="1">
        <v>45583.49527777778</v>
      </c>
      <c r="P518" t="s">
        <v>125</v>
      </c>
    </row>
    <row r="519" spans="1:16" x14ac:dyDescent="0.3">
      <c r="A519" t="s">
        <v>25</v>
      </c>
      <c r="B519" s="1">
        <v>45583.495266203703</v>
      </c>
      <c r="C519" t="str">
        <f t="shared" si="106"/>
        <v>41</v>
      </c>
      <c r="D519" t="s">
        <v>120</v>
      </c>
      <c r="E519" t="s">
        <v>116</v>
      </c>
      <c r="F519" t="s">
        <v>117</v>
      </c>
      <c r="H519" t="s">
        <v>223</v>
      </c>
      <c r="I519" t="str">
        <f>"101050002024033"</f>
        <v>101050002024033</v>
      </c>
      <c r="J519" t="str">
        <f t="shared" si="107"/>
        <v>515122</v>
      </c>
      <c r="K519" t="s">
        <v>4</v>
      </c>
      <c r="L519">
        <v>49</v>
      </c>
      <c r="M519">
        <v>49</v>
      </c>
      <c r="N519">
        <v>0</v>
      </c>
      <c r="O519" s="1">
        <v>45583.495266203703</v>
      </c>
      <c r="P519" t="s">
        <v>125</v>
      </c>
    </row>
    <row r="520" spans="1:16" x14ac:dyDescent="0.3">
      <c r="A520" t="s">
        <v>25</v>
      </c>
      <c r="B520" s="1">
        <v>45583.493715277778</v>
      </c>
      <c r="C520" t="str">
        <f>"38"</f>
        <v>38</v>
      </c>
      <c r="D520" t="s">
        <v>115</v>
      </c>
      <c r="E520" t="s">
        <v>116</v>
      </c>
      <c r="F520" t="s">
        <v>117</v>
      </c>
      <c r="H520" t="s">
        <v>224</v>
      </c>
      <c r="L520">
        <v>0</v>
      </c>
      <c r="M520">
        <v>0</v>
      </c>
      <c r="N520">
        <v>0</v>
      </c>
      <c r="O520" s="1">
        <v>45583.493715277778</v>
      </c>
      <c r="P520" t="s">
        <v>125</v>
      </c>
    </row>
    <row r="521" spans="1:16" x14ac:dyDescent="0.3">
      <c r="A521" t="s">
        <v>25</v>
      </c>
      <c r="B521" s="1">
        <v>45583.493715277778</v>
      </c>
      <c r="C521" t="str">
        <f>"41"</f>
        <v>41</v>
      </c>
      <c r="D521" t="s">
        <v>120</v>
      </c>
      <c r="E521" t="s">
        <v>116</v>
      </c>
      <c r="F521" t="s">
        <v>117</v>
      </c>
      <c r="H521" t="s">
        <v>224</v>
      </c>
      <c r="I521" t="str">
        <f>"101050002022260"</f>
        <v>101050002022260</v>
      </c>
      <c r="J521" t="str">
        <f>"127577"</f>
        <v>127577</v>
      </c>
      <c r="K521" t="s">
        <v>62</v>
      </c>
      <c r="L521">
        <v>91</v>
      </c>
      <c r="M521">
        <v>91</v>
      </c>
      <c r="N521">
        <v>0</v>
      </c>
      <c r="O521" s="1">
        <v>45583.493715277778</v>
      </c>
      <c r="P521" t="s">
        <v>125</v>
      </c>
    </row>
    <row r="522" spans="1:16" x14ac:dyDescent="0.3">
      <c r="A522" t="s">
        <v>25</v>
      </c>
      <c r="B522" s="1">
        <v>45583.493715277778</v>
      </c>
      <c r="C522" t="str">
        <f>"41"</f>
        <v>41</v>
      </c>
      <c r="D522" t="s">
        <v>120</v>
      </c>
      <c r="E522" t="s">
        <v>116</v>
      </c>
      <c r="F522" t="s">
        <v>117</v>
      </c>
      <c r="H522" t="s">
        <v>224</v>
      </c>
      <c r="I522" t="str">
        <f>"101050002021804"</f>
        <v>101050002021804</v>
      </c>
      <c r="J522" t="str">
        <f>"127577"</f>
        <v>127577</v>
      </c>
      <c r="K522" t="s">
        <v>62</v>
      </c>
      <c r="L522">
        <v>91</v>
      </c>
      <c r="M522">
        <v>91</v>
      </c>
      <c r="N522">
        <v>0</v>
      </c>
      <c r="O522" s="1">
        <v>45583.493715277778</v>
      </c>
      <c r="P522" t="s">
        <v>125</v>
      </c>
    </row>
    <row r="523" spans="1:16" x14ac:dyDescent="0.3">
      <c r="A523" t="s">
        <v>25</v>
      </c>
      <c r="B523" s="1">
        <v>45583.493391203701</v>
      </c>
      <c r="C523" t="str">
        <f>"38"</f>
        <v>38</v>
      </c>
      <c r="D523" t="s">
        <v>115</v>
      </c>
      <c r="E523" t="s">
        <v>116</v>
      </c>
      <c r="F523" t="s">
        <v>117</v>
      </c>
      <c r="H523" t="s">
        <v>225</v>
      </c>
      <c r="L523">
        <v>0</v>
      </c>
      <c r="M523">
        <v>0</v>
      </c>
      <c r="N523">
        <v>0</v>
      </c>
      <c r="O523" s="1">
        <v>45583.493391203701</v>
      </c>
      <c r="P523" t="s">
        <v>125</v>
      </c>
    </row>
    <row r="524" spans="1:16" x14ac:dyDescent="0.3">
      <c r="A524" t="s">
        <v>25</v>
      </c>
      <c r="B524" s="1">
        <v>45583.493391203701</v>
      </c>
      <c r="C524" t="str">
        <f t="shared" ref="C524:C530" si="108">"41"</f>
        <v>41</v>
      </c>
      <c r="D524" t="s">
        <v>120</v>
      </c>
      <c r="E524" t="s">
        <v>116</v>
      </c>
      <c r="F524" t="s">
        <v>117</v>
      </c>
      <c r="H524" t="s">
        <v>225</v>
      </c>
      <c r="I524" t="str">
        <f>"101050002017592"</f>
        <v>101050002017592</v>
      </c>
      <c r="J524" t="str">
        <f t="shared" ref="J524:J530" si="109">"515123"</f>
        <v>515123</v>
      </c>
      <c r="K524" t="s">
        <v>19</v>
      </c>
      <c r="L524">
        <v>49</v>
      </c>
      <c r="M524">
        <v>49</v>
      </c>
      <c r="N524">
        <v>0</v>
      </c>
      <c r="O524" s="1">
        <v>45583.493391203701</v>
      </c>
      <c r="P524" t="s">
        <v>125</v>
      </c>
    </row>
    <row r="525" spans="1:16" x14ac:dyDescent="0.3">
      <c r="A525" t="s">
        <v>25</v>
      </c>
      <c r="B525" s="1">
        <v>45583.493391203701</v>
      </c>
      <c r="C525" t="str">
        <f t="shared" si="108"/>
        <v>41</v>
      </c>
      <c r="D525" t="s">
        <v>120</v>
      </c>
      <c r="E525" t="s">
        <v>116</v>
      </c>
      <c r="F525" t="s">
        <v>117</v>
      </c>
      <c r="H525" t="s">
        <v>225</v>
      </c>
      <c r="I525" t="str">
        <f>"101050002024388"</f>
        <v>101050002024388</v>
      </c>
      <c r="J525" t="str">
        <f t="shared" si="109"/>
        <v>515123</v>
      </c>
      <c r="K525" t="s">
        <v>19</v>
      </c>
      <c r="L525">
        <v>49</v>
      </c>
      <c r="M525">
        <v>49</v>
      </c>
      <c r="N525">
        <v>0</v>
      </c>
      <c r="O525" s="1">
        <v>45583.493391203701</v>
      </c>
      <c r="P525" t="s">
        <v>125</v>
      </c>
    </row>
    <row r="526" spans="1:16" x14ac:dyDescent="0.3">
      <c r="A526" t="s">
        <v>25</v>
      </c>
      <c r="B526" s="1">
        <v>45583.493391203701</v>
      </c>
      <c r="C526" t="str">
        <f t="shared" si="108"/>
        <v>41</v>
      </c>
      <c r="D526" t="s">
        <v>120</v>
      </c>
      <c r="E526" t="s">
        <v>116</v>
      </c>
      <c r="F526" t="s">
        <v>117</v>
      </c>
      <c r="H526" t="s">
        <v>225</v>
      </c>
      <c r="I526" t="str">
        <f>"101050002024387"</f>
        <v>101050002024387</v>
      </c>
      <c r="J526" t="str">
        <f t="shared" si="109"/>
        <v>515123</v>
      </c>
      <c r="K526" t="s">
        <v>19</v>
      </c>
      <c r="L526">
        <v>49</v>
      </c>
      <c r="M526">
        <v>49</v>
      </c>
      <c r="N526">
        <v>0</v>
      </c>
      <c r="O526" s="1">
        <v>45583.493391203701</v>
      </c>
      <c r="P526" t="s">
        <v>125</v>
      </c>
    </row>
    <row r="527" spans="1:16" x14ac:dyDescent="0.3">
      <c r="A527" t="s">
        <v>25</v>
      </c>
      <c r="B527" s="1">
        <v>45583.493391203701</v>
      </c>
      <c r="C527" t="str">
        <f t="shared" si="108"/>
        <v>41</v>
      </c>
      <c r="D527" t="s">
        <v>120</v>
      </c>
      <c r="E527" t="s">
        <v>116</v>
      </c>
      <c r="F527" t="s">
        <v>117</v>
      </c>
      <c r="H527" t="s">
        <v>225</v>
      </c>
      <c r="I527" t="str">
        <f>"101050002025749"</f>
        <v>101050002025749</v>
      </c>
      <c r="J527" t="str">
        <f t="shared" si="109"/>
        <v>515123</v>
      </c>
      <c r="K527" t="s">
        <v>19</v>
      </c>
      <c r="L527">
        <v>49</v>
      </c>
      <c r="M527">
        <v>49</v>
      </c>
      <c r="N527">
        <v>0</v>
      </c>
      <c r="O527" s="1">
        <v>45583.493391203701</v>
      </c>
      <c r="P527" t="s">
        <v>125</v>
      </c>
    </row>
    <row r="528" spans="1:16" x14ac:dyDescent="0.3">
      <c r="A528" t="s">
        <v>25</v>
      </c>
      <c r="B528" s="1">
        <v>45583.493379629632</v>
      </c>
      <c r="C528" t="str">
        <f t="shared" si="108"/>
        <v>41</v>
      </c>
      <c r="D528" t="s">
        <v>120</v>
      </c>
      <c r="E528" t="s">
        <v>116</v>
      </c>
      <c r="F528" t="s">
        <v>117</v>
      </c>
      <c r="H528" t="s">
        <v>225</v>
      </c>
      <c r="I528" t="str">
        <f>"101050002018435"</f>
        <v>101050002018435</v>
      </c>
      <c r="J528" t="str">
        <f t="shared" si="109"/>
        <v>515123</v>
      </c>
      <c r="K528" t="s">
        <v>19</v>
      </c>
      <c r="L528">
        <v>49</v>
      </c>
      <c r="M528">
        <v>49</v>
      </c>
      <c r="N528">
        <v>0</v>
      </c>
      <c r="O528" s="1">
        <v>45583.493379629632</v>
      </c>
      <c r="P528" t="s">
        <v>125</v>
      </c>
    </row>
    <row r="529" spans="1:16" x14ac:dyDescent="0.3">
      <c r="A529" t="s">
        <v>25</v>
      </c>
      <c r="B529" s="1">
        <v>45583.493379629632</v>
      </c>
      <c r="C529" t="str">
        <f t="shared" si="108"/>
        <v>41</v>
      </c>
      <c r="D529" t="s">
        <v>120</v>
      </c>
      <c r="E529" t="s">
        <v>116</v>
      </c>
      <c r="F529" t="s">
        <v>117</v>
      </c>
      <c r="H529" t="s">
        <v>225</v>
      </c>
      <c r="I529" t="str">
        <f>"101050002017287"</f>
        <v>101050002017287</v>
      </c>
      <c r="J529" t="str">
        <f t="shared" si="109"/>
        <v>515123</v>
      </c>
      <c r="K529" t="s">
        <v>19</v>
      </c>
      <c r="L529">
        <v>49</v>
      </c>
      <c r="M529">
        <v>49</v>
      </c>
      <c r="N529">
        <v>0</v>
      </c>
      <c r="O529" s="1">
        <v>45583.493379629632</v>
      </c>
      <c r="P529" t="s">
        <v>125</v>
      </c>
    </row>
    <row r="530" spans="1:16" x14ac:dyDescent="0.3">
      <c r="A530" t="s">
        <v>25</v>
      </c>
      <c r="B530" s="1">
        <v>45583.493379629632</v>
      </c>
      <c r="C530" t="str">
        <f t="shared" si="108"/>
        <v>41</v>
      </c>
      <c r="D530" t="s">
        <v>120</v>
      </c>
      <c r="E530" t="s">
        <v>116</v>
      </c>
      <c r="F530" t="s">
        <v>117</v>
      </c>
      <c r="H530" t="s">
        <v>225</v>
      </c>
      <c r="I530" t="str">
        <f>"101050002017371"</f>
        <v>101050002017371</v>
      </c>
      <c r="J530" t="str">
        <f t="shared" si="109"/>
        <v>515123</v>
      </c>
      <c r="K530" t="s">
        <v>19</v>
      </c>
      <c r="L530">
        <v>49</v>
      </c>
      <c r="M530">
        <v>49</v>
      </c>
      <c r="N530">
        <v>0</v>
      </c>
      <c r="O530" s="1">
        <v>45583.493379629632</v>
      </c>
      <c r="P530" t="s">
        <v>125</v>
      </c>
    </row>
    <row r="531" spans="1:16" x14ac:dyDescent="0.3">
      <c r="A531" t="s">
        <v>25</v>
      </c>
      <c r="B531" s="1">
        <v>45583.491087962961</v>
      </c>
      <c r="C531" t="str">
        <f>"38"</f>
        <v>38</v>
      </c>
      <c r="D531" t="s">
        <v>115</v>
      </c>
      <c r="E531" t="s">
        <v>116</v>
      </c>
      <c r="F531" t="s">
        <v>117</v>
      </c>
      <c r="H531" t="s">
        <v>224</v>
      </c>
      <c r="L531">
        <v>0</v>
      </c>
      <c r="M531">
        <v>0</v>
      </c>
      <c r="N531">
        <v>0</v>
      </c>
      <c r="O531" s="1">
        <v>45583.491087962961</v>
      </c>
      <c r="P531" t="s">
        <v>125</v>
      </c>
    </row>
    <row r="532" spans="1:16" x14ac:dyDescent="0.3">
      <c r="A532" t="s">
        <v>25</v>
      </c>
      <c r="B532" s="1">
        <v>45583.491087962961</v>
      </c>
      <c r="C532" t="str">
        <f>"41"</f>
        <v>41</v>
      </c>
      <c r="D532" t="s">
        <v>120</v>
      </c>
      <c r="E532" t="s">
        <v>116</v>
      </c>
      <c r="F532" t="s">
        <v>117</v>
      </c>
      <c r="H532" t="s">
        <v>224</v>
      </c>
      <c r="I532" t="str">
        <f>"101050002022260"</f>
        <v>101050002022260</v>
      </c>
      <c r="J532" t="str">
        <f>"127577"</f>
        <v>127577</v>
      </c>
      <c r="K532" t="s">
        <v>62</v>
      </c>
      <c r="L532">
        <v>91</v>
      </c>
      <c r="M532">
        <v>91</v>
      </c>
      <c r="N532">
        <v>0</v>
      </c>
      <c r="O532" s="1">
        <v>45583.491087962961</v>
      </c>
      <c r="P532" t="s">
        <v>125</v>
      </c>
    </row>
    <row r="533" spans="1:16" x14ac:dyDescent="0.3">
      <c r="A533" t="s">
        <v>25</v>
      </c>
      <c r="B533" s="1">
        <v>45583.491087962961</v>
      </c>
      <c r="C533" t="str">
        <f>"41"</f>
        <v>41</v>
      </c>
      <c r="D533" t="s">
        <v>120</v>
      </c>
      <c r="E533" t="s">
        <v>116</v>
      </c>
      <c r="F533" t="s">
        <v>117</v>
      </c>
      <c r="H533" t="s">
        <v>224</v>
      </c>
      <c r="I533" t="str">
        <f>"101050002021804"</f>
        <v>101050002021804</v>
      </c>
      <c r="J533" t="str">
        <f>"127577"</f>
        <v>127577</v>
      </c>
      <c r="K533" t="s">
        <v>62</v>
      </c>
      <c r="L533">
        <v>91</v>
      </c>
      <c r="M533">
        <v>91</v>
      </c>
      <c r="N533">
        <v>0</v>
      </c>
      <c r="O533" s="1">
        <v>45583.491087962961</v>
      </c>
      <c r="P533" t="s">
        <v>125</v>
      </c>
    </row>
    <row r="534" spans="1:16" x14ac:dyDescent="0.3">
      <c r="A534" t="s">
        <v>25</v>
      </c>
      <c r="B534" s="1">
        <v>45583.489664351851</v>
      </c>
      <c r="C534" t="str">
        <f>"38"</f>
        <v>38</v>
      </c>
      <c r="D534" t="s">
        <v>115</v>
      </c>
      <c r="E534" t="s">
        <v>116</v>
      </c>
      <c r="F534" t="s">
        <v>117</v>
      </c>
      <c r="H534" t="s">
        <v>226</v>
      </c>
      <c r="L534">
        <v>0</v>
      </c>
      <c r="M534">
        <v>0</v>
      </c>
      <c r="N534">
        <v>0</v>
      </c>
      <c r="O534" s="1">
        <v>45583.489664351851</v>
      </c>
      <c r="P534" t="s">
        <v>125</v>
      </c>
    </row>
    <row r="535" spans="1:16" x14ac:dyDescent="0.3">
      <c r="A535" t="s">
        <v>25</v>
      </c>
      <c r="B535" s="1">
        <v>45583.489664351851</v>
      </c>
      <c r="C535" t="str">
        <f t="shared" ref="C535:C541" si="110">"41"</f>
        <v>41</v>
      </c>
      <c r="D535" t="s">
        <v>120</v>
      </c>
      <c r="E535" t="s">
        <v>116</v>
      </c>
      <c r="F535" t="s">
        <v>117</v>
      </c>
      <c r="H535" t="s">
        <v>226</v>
      </c>
      <c r="I535" t="str">
        <f>"101050002025702"</f>
        <v>101050002025702</v>
      </c>
      <c r="J535" t="str">
        <f t="shared" ref="J535:J541" si="111">"515123"</f>
        <v>515123</v>
      </c>
      <c r="K535" t="s">
        <v>19</v>
      </c>
      <c r="L535">
        <v>49</v>
      </c>
      <c r="M535">
        <v>49</v>
      </c>
      <c r="N535">
        <v>0</v>
      </c>
      <c r="O535" s="1">
        <v>45583.489664351851</v>
      </c>
      <c r="P535" t="s">
        <v>125</v>
      </c>
    </row>
    <row r="536" spans="1:16" x14ac:dyDescent="0.3">
      <c r="A536" t="s">
        <v>25</v>
      </c>
      <c r="B536" s="1">
        <v>45583.489664351851</v>
      </c>
      <c r="C536" t="str">
        <f t="shared" si="110"/>
        <v>41</v>
      </c>
      <c r="D536" t="s">
        <v>120</v>
      </c>
      <c r="E536" t="s">
        <v>116</v>
      </c>
      <c r="F536" t="s">
        <v>117</v>
      </c>
      <c r="H536" t="s">
        <v>226</v>
      </c>
      <c r="I536" t="str">
        <f>"101050002025701"</f>
        <v>101050002025701</v>
      </c>
      <c r="J536" t="str">
        <f t="shared" si="111"/>
        <v>515123</v>
      </c>
      <c r="K536" t="s">
        <v>19</v>
      </c>
      <c r="L536">
        <v>49</v>
      </c>
      <c r="M536">
        <v>49</v>
      </c>
      <c r="N536">
        <v>0</v>
      </c>
      <c r="O536" s="1">
        <v>45583.489664351851</v>
      </c>
      <c r="P536" t="s">
        <v>125</v>
      </c>
    </row>
    <row r="537" spans="1:16" x14ac:dyDescent="0.3">
      <c r="A537" t="s">
        <v>25</v>
      </c>
      <c r="B537" s="1">
        <v>45583.489664351851</v>
      </c>
      <c r="C537" t="str">
        <f t="shared" si="110"/>
        <v>41</v>
      </c>
      <c r="D537" t="s">
        <v>120</v>
      </c>
      <c r="E537" t="s">
        <v>116</v>
      </c>
      <c r="F537" t="s">
        <v>117</v>
      </c>
      <c r="H537" t="s">
        <v>226</v>
      </c>
      <c r="I537" t="str">
        <f>"101050002025704"</f>
        <v>101050002025704</v>
      </c>
      <c r="J537" t="str">
        <f t="shared" si="111"/>
        <v>515123</v>
      </c>
      <c r="K537" t="s">
        <v>19</v>
      </c>
      <c r="L537">
        <v>49</v>
      </c>
      <c r="M537">
        <v>49</v>
      </c>
      <c r="N537">
        <v>0</v>
      </c>
      <c r="O537" s="1">
        <v>45583.489664351851</v>
      </c>
      <c r="P537" t="s">
        <v>125</v>
      </c>
    </row>
    <row r="538" spans="1:16" x14ac:dyDescent="0.3">
      <c r="A538" t="s">
        <v>25</v>
      </c>
      <c r="B538" s="1">
        <v>45583.489664351851</v>
      </c>
      <c r="C538" t="str">
        <f t="shared" si="110"/>
        <v>41</v>
      </c>
      <c r="D538" t="s">
        <v>120</v>
      </c>
      <c r="E538" t="s">
        <v>116</v>
      </c>
      <c r="F538" t="s">
        <v>117</v>
      </c>
      <c r="H538" t="s">
        <v>226</v>
      </c>
      <c r="I538" t="str">
        <f>"101050002025705"</f>
        <v>101050002025705</v>
      </c>
      <c r="J538" t="str">
        <f t="shared" si="111"/>
        <v>515123</v>
      </c>
      <c r="K538" t="s">
        <v>19</v>
      </c>
      <c r="L538">
        <v>49</v>
      </c>
      <c r="M538">
        <v>49</v>
      </c>
      <c r="N538">
        <v>0</v>
      </c>
      <c r="O538" s="1">
        <v>45583.489664351851</v>
      </c>
      <c r="P538" t="s">
        <v>125</v>
      </c>
    </row>
    <row r="539" spans="1:16" x14ac:dyDescent="0.3">
      <c r="A539" t="s">
        <v>25</v>
      </c>
      <c r="B539" s="1">
        <v>45583.489664351851</v>
      </c>
      <c r="C539" t="str">
        <f t="shared" si="110"/>
        <v>41</v>
      </c>
      <c r="D539" t="s">
        <v>120</v>
      </c>
      <c r="E539" t="s">
        <v>116</v>
      </c>
      <c r="F539" t="s">
        <v>117</v>
      </c>
      <c r="H539" t="s">
        <v>226</v>
      </c>
      <c r="I539" t="str">
        <f>"101050002026520"</f>
        <v>101050002026520</v>
      </c>
      <c r="J539" t="str">
        <f t="shared" si="111"/>
        <v>515123</v>
      </c>
      <c r="K539" t="s">
        <v>19</v>
      </c>
      <c r="L539">
        <v>49</v>
      </c>
      <c r="M539">
        <v>49</v>
      </c>
      <c r="N539">
        <v>0</v>
      </c>
      <c r="O539" s="1">
        <v>45583.489664351851</v>
      </c>
      <c r="P539" t="s">
        <v>125</v>
      </c>
    </row>
    <row r="540" spans="1:16" x14ac:dyDescent="0.3">
      <c r="A540" t="s">
        <v>25</v>
      </c>
      <c r="B540" s="1">
        <v>45583.489652777775</v>
      </c>
      <c r="C540" t="str">
        <f t="shared" si="110"/>
        <v>41</v>
      </c>
      <c r="D540" t="s">
        <v>120</v>
      </c>
      <c r="E540" t="s">
        <v>116</v>
      </c>
      <c r="F540" t="s">
        <v>117</v>
      </c>
      <c r="H540" t="s">
        <v>226</v>
      </c>
      <c r="I540" t="str">
        <f>"101050002026955"</f>
        <v>101050002026955</v>
      </c>
      <c r="J540" t="str">
        <f t="shared" si="111"/>
        <v>515123</v>
      </c>
      <c r="K540" t="s">
        <v>19</v>
      </c>
      <c r="L540">
        <v>49</v>
      </c>
      <c r="M540">
        <v>49</v>
      </c>
      <c r="N540">
        <v>0</v>
      </c>
      <c r="O540" s="1">
        <v>45583.489652777775</v>
      </c>
      <c r="P540" t="s">
        <v>125</v>
      </c>
    </row>
    <row r="541" spans="1:16" x14ac:dyDescent="0.3">
      <c r="A541" t="s">
        <v>25</v>
      </c>
      <c r="B541" s="1">
        <v>45583.489652777775</v>
      </c>
      <c r="C541" t="str">
        <f t="shared" si="110"/>
        <v>41</v>
      </c>
      <c r="D541" t="s">
        <v>120</v>
      </c>
      <c r="E541" t="s">
        <v>116</v>
      </c>
      <c r="F541" t="s">
        <v>117</v>
      </c>
      <c r="H541" t="s">
        <v>226</v>
      </c>
      <c r="I541" t="str">
        <f>"101050002024663"</f>
        <v>101050002024663</v>
      </c>
      <c r="J541" t="str">
        <f t="shared" si="111"/>
        <v>515123</v>
      </c>
      <c r="K541" t="s">
        <v>19</v>
      </c>
      <c r="L541">
        <v>49</v>
      </c>
      <c r="M541">
        <v>49</v>
      </c>
      <c r="N541">
        <v>0</v>
      </c>
      <c r="O541" s="1">
        <v>45583.489652777775</v>
      </c>
      <c r="P541" t="s">
        <v>125</v>
      </c>
    </row>
    <row r="542" spans="1:16" x14ac:dyDescent="0.3">
      <c r="A542" t="s">
        <v>25</v>
      </c>
      <c r="B542" s="1">
        <v>45583.487893518519</v>
      </c>
      <c r="C542" t="str">
        <f>"38"</f>
        <v>38</v>
      </c>
      <c r="D542" t="s">
        <v>115</v>
      </c>
      <c r="E542" t="s">
        <v>116</v>
      </c>
      <c r="F542" t="s">
        <v>117</v>
      </c>
      <c r="H542" t="s">
        <v>227</v>
      </c>
      <c r="L542">
        <v>0</v>
      </c>
      <c r="M542">
        <v>0</v>
      </c>
      <c r="N542">
        <v>0</v>
      </c>
      <c r="O542" s="1">
        <v>45583.487893518519</v>
      </c>
      <c r="P542" t="s">
        <v>125</v>
      </c>
    </row>
    <row r="543" spans="1:16" x14ac:dyDescent="0.3">
      <c r="A543" t="s">
        <v>25</v>
      </c>
      <c r="B543" s="1">
        <v>45583.487893518519</v>
      </c>
      <c r="C543" t="str">
        <f t="shared" ref="C543:C549" si="112">"41"</f>
        <v>41</v>
      </c>
      <c r="D543" t="s">
        <v>120</v>
      </c>
      <c r="E543" t="s">
        <v>116</v>
      </c>
      <c r="F543" t="s">
        <v>117</v>
      </c>
      <c r="H543" t="s">
        <v>227</v>
      </c>
      <c r="I543" t="str">
        <f>"101050002025915"</f>
        <v>101050002025915</v>
      </c>
      <c r="J543" t="str">
        <f t="shared" ref="J543:J549" si="113">"515120"</f>
        <v>515120</v>
      </c>
      <c r="K543" t="s">
        <v>2</v>
      </c>
      <c r="L543">
        <v>49</v>
      </c>
      <c r="M543">
        <v>49</v>
      </c>
      <c r="N543">
        <v>0</v>
      </c>
      <c r="O543" s="1">
        <v>45583.487893518519</v>
      </c>
      <c r="P543" t="s">
        <v>125</v>
      </c>
    </row>
    <row r="544" spans="1:16" x14ac:dyDescent="0.3">
      <c r="A544" t="s">
        <v>25</v>
      </c>
      <c r="B544" s="1">
        <v>45583.487893518519</v>
      </c>
      <c r="C544" t="str">
        <f t="shared" si="112"/>
        <v>41</v>
      </c>
      <c r="D544" t="s">
        <v>120</v>
      </c>
      <c r="E544" t="s">
        <v>116</v>
      </c>
      <c r="F544" t="s">
        <v>117</v>
      </c>
      <c r="H544" t="s">
        <v>227</v>
      </c>
      <c r="I544" t="str">
        <f>"101050002025736"</f>
        <v>101050002025736</v>
      </c>
      <c r="J544" t="str">
        <f t="shared" si="113"/>
        <v>515120</v>
      </c>
      <c r="K544" t="s">
        <v>2</v>
      </c>
      <c r="L544">
        <v>49</v>
      </c>
      <c r="M544">
        <v>49</v>
      </c>
      <c r="N544">
        <v>0</v>
      </c>
      <c r="O544" s="1">
        <v>45583.487893518519</v>
      </c>
      <c r="P544" t="s">
        <v>125</v>
      </c>
    </row>
    <row r="545" spans="1:16" x14ac:dyDescent="0.3">
      <c r="A545" t="s">
        <v>25</v>
      </c>
      <c r="B545" s="1">
        <v>45583.487881944442</v>
      </c>
      <c r="C545" t="str">
        <f t="shared" si="112"/>
        <v>41</v>
      </c>
      <c r="D545" t="s">
        <v>120</v>
      </c>
      <c r="E545" t="s">
        <v>116</v>
      </c>
      <c r="F545" t="s">
        <v>117</v>
      </c>
      <c r="H545" t="s">
        <v>227</v>
      </c>
      <c r="I545" t="str">
        <f>"101050002025496"</f>
        <v>101050002025496</v>
      </c>
      <c r="J545" t="str">
        <f t="shared" si="113"/>
        <v>515120</v>
      </c>
      <c r="K545" t="s">
        <v>2</v>
      </c>
      <c r="L545">
        <v>49</v>
      </c>
      <c r="M545">
        <v>49</v>
      </c>
      <c r="N545">
        <v>0</v>
      </c>
      <c r="O545" s="1">
        <v>45583.487881944442</v>
      </c>
      <c r="P545" t="s">
        <v>125</v>
      </c>
    </row>
    <row r="546" spans="1:16" x14ac:dyDescent="0.3">
      <c r="A546" t="s">
        <v>25</v>
      </c>
      <c r="B546" s="1">
        <v>45583.487881944442</v>
      </c>
      <c r="C546" t="str">
        <f t="shared" si="112"/>
        <v>41</v>
      </c>
      <c r="D546" t="s">
        <v>120</v>
      </c>
      <c r="E546" t="s">
        <v>116</v>
      </c>
      <c r="F546" t="s">
        <v>117</v>
      </c>
      <c r="H546" t="s">
        <v>227</v>
      </c>
      <c r="I546" t="str">
        <f>"101050002025497"</f>
        <v>101050002025497</v>
      </c>
      <c r="J546" t="str">
        <f t="shared" si="113"/>
        <v>515120</v>
      </c>
      <c r="K546" t="s">
        <v>2</v>
      </c>
      <c r="L546">
        <v>49</v>
      </c>
      <c r="M546">
        <v>49</v>
      </c>
      <c r="N546">
        <v>0</v>
      </c>
      <c r="O546" s="1">
        <v>45583.487881944442</v>
      </c>
      <c r="P546" t="s">
        <v>125</v>
      </c>
    </row>
    <row r="547" spans="1:16" x14ac:dyDescent="0.3">
      <c r="A547" t="s">
        <v>25</v>
      </c>
      <c r="B547" s="1">
        <v>45583.487881944442</v>
      </c>
      <c r="C547" t="str">
        <f t="shared" si="112"/>
        <v>41</v>
      </c>
      <c r="D547" t="s">
        <v>120</v>
      </c>
      <c r="E547" t="s">
        <v>116</v>
      </c>
      <c r="F547" t="s">
        <v>117</v>
      </c>
      <c r="H547" t="s">
        <v>227</v>
      </c>
      <c r="I547" t="str">
        <f>"101050002025494"</f>
        <v>101050002025494</v>
      </c>
      <c r="J547" t="str">
        <f t="shared" si="113"/>
        <v>515120</v>
      </c>
      <c r="K547" t="s">
        <v>2</v>
      </c>
      <c r="L547">
        <v>49</v>
      </c>
      <c r="M547">
        <v>49</v>
      </c>
      <c r="N547">
        <v>0</v>
      </c>
      <c r="O547" s="1">
        <v>45583.487881944442</v>
      </c>
      <c r="P547" t="s">
        <v>125</v>
      </c>
    </row>
    <row r="548" spans="1:16" x14ac:dyDescent="0.3">
      <c r="A548" t="s">
        <v>25</v>
      </c>
      <c r="B548" s="1">
        <v>45583.487881944442</v>
      </c>
      <c r="C548" t="str">
        <f t="shared" si="112"/>
        <v>41</v>
      </c>
      <c r="D548" t="s">
        <v>120</v>
      </c>
      <c r="E548" t="s">
        <v>116</v>
      </c>
      <c r="F548" t="s">
        <v>117</v>
      </c>
      <c r="H548" t="s">
        <v>227</v>
      </c>
      <c r="I548" t="str">
        <f>"101050002025498"</f>
        <v>101050002025498</v>
      </c>
      <c r="J548" t="str">
        <f t="shared" si="113"/>
        <v>515120</v>
      </c>
      <c r="K548" t="s">
        <v>2</v>
      </c>
      <c r="L548">
        <v>49</v>
      </c>
      <c r="M548">
        <v>49</v>
      </c>
      <c r="N548">
        <v>0</v>
      </c>
      <c r="O548" s="1">
        <v>45583.487881944442</v>
      </c>
      <c r="P548" t="s">
        <v>125</v>
      </c>
    </row>
    <row r="549" spans="1:16" x14ac:dyDescent="0.3">
      <c r="A549" t="s">
        <v>25</v>
      </c>
      <c r="B549" s="1">
        <v>45583.487881944442</v>
      </c>
      <c r="C549" t="str">
        <f t="shared" si="112"/>
        <v>41</v>
      </c>
      <c r="D549" t="s">
        <v>120</v>
      </c>
      <c r="E549" t="s">
        <v>116</v>
      </c>
      <c r="F549" t="s">
        <v>117</v>
      </c>
      <c r="H549" t="s">
        <v>227</v>
      </c>
      <c r="I549" t="str">
        <f>"101050002025232"</f>
        <v>101050002025232</v>
      </c>
      <c r="J549" t="str">
        <f t="shared" si="113"/>
        <v>515120</v>
      </c>
      <c r="K549" t="s">
        <v>2</v>
      </c>
      <c r="L549">
        <v>49</v>
      </c>
      <c r="M549">
        <v>49</v>
      </c>
      <c r="N549">
        <v>0</v>
      </c>
      <c r="O549" s="1">
        <v>45583.487881944442</v>
      </c>
      <c r="P549" t="s">
        <v>125</v>
      </c>
    </row>
    <row r="550" spans="1:16" x14ac:dyDescent="0.3">
      <c r="A550" t="s">
        <v>25</v>
      </c>
      <c r="B550" s="1">
        <v>45583.485254629632</v>
      </c>
      <c r="C550" t="str">
        <f>"38"</f>
        <v>38</v>
      </c>
      <c r="D550" t="s">
        <v>115</v>
      </c>
      <c r="E550" t="s">
        <v>116</v>
      </c>
      <c r="F550" t="s">
        <v>117</v>
      </c>
      <c r="H550" t="s">
        <v>228</v>
      </c>
      <c r="L550">
        <v>0</v>
      </c>
      <c r="M550">
        <v>0</v>
      </c>
      <c r="N550">
        <v>0</v>
      </c>
      <c r="O550" s="1">
        <v>45583.485254629632</v>
      </c>
      <c r="P550" t="s">
        <v>125</v>
      </c>
    </row>
    <row r="551" spans="1:16" x14ac:dyDescent="0.3">
      <c r="A551" t="s">
        <v>25</v>
      </c>
      <c r="B551" s="1">
        <v>45583.485254629632</v>
      </c>
      <c r="C551" t="str">
        <f t="shared" ref="C551:C557" si="114">"41"</f>
        <v>41</v>
      </c>
      <c r="D551" t="s">
        <v>120</v>
      </c>
      <c r="E551" t="s">
        <v>116</v>
      </c>
      <c r="F551" t="s">
        <v>117</v>
      </c>
      <c r="H551" t="s">
        <v>228</v>
      </c>
      <c r="I551" t="str">
        <f>"101050002023867"</f>
        <v>101050002023867</v>
      </c>
      <c r="J551" t="str">
        <f t="shared" ref="J551:J557" si="115">"515122"</f>
        <v>515122</v>
      </c>
      <c r="K551" t="s">
        <v>4</v>
      </c>
      <c r="L551">
        <v>49</v>
      </c>
      <c r="M551">
        <v>49</v>
      </c>
      <c r="N551">
        <v>0</v>
      </c>
      <c r="O551" s="1">
        <v>45583.485254629632</v>
      </c>
      <c r="P551" t="s">
        <v>125</v>
      </c>
    </row>
    <row r="552" spans="1:16" x14ac:dyDescent="0.3">
      <c r="A552" t="s">
        <v>25</v>
      </c>
      <c r="B552" s="1">
        <v>45583.485254629632</v>
      </c>
      <c r="C552" t="str">
        <f t="shared" si="114"/>
        <v>41</v>
      </c>
      <c r="D552" t="s">
        <v>120</v>
      </c>
      <c r="E552" t="s">
        <v>116</v>
      </c>
      <c r="F552" t="s">
        <v>117</v>
      </c>
      <c r="H552" t="s">
        <v>228</v>
      </c>
      <c r="I552" t="str">
        <f>"101050002024032"</f>
        <v>101050002024032</v>
      </c>
      <c r="J552" t="str">
        <f t="shared" si="115"/>
        <v>515122</v>
      </c>
      <c r="K552" t="s">
        <v>4</v>
      </c>
      <c r="L552">
        <v>49</v>
      </c>
      <c r="M552">
        <v>49</v>
      </c>
      <c r="N552">
        <v>0</v>
      </c>
      <c r="O552" s="1">
        <v>45583.485254629632</v>
      </c>
      <c r="P552" t="s">
        <v>125</v>
      </c>
    </row>
    <row r="553" spans="1:16" x14ac:dyDescent="0.3">
      <c r="A553" t="s">
        <v>25</v>
      </c>
      <c r="B553" s="1">
        <v>45583.485254629632</v>
      </c>
      <c r="C553" t="str">
        <f t="shared" si="114"/>
        <v>41</v>
      </c>
      <c r="D553" t="s">
        <v>120</v>
      </c>
      <c r="E553" t="s">
        <v>116</v>
      </c>
      <c r="F553" t="s">
        <v>117</v>
      </c>
      <c r="H553" t="s">
        <v>228</v>
      </c>
      <c r="I553" t="str">
        <f>"101050002023751"</f>
        <v>101050002023751</v>
      </c>
      <c r="J553" t="str">
        <f t="shared" si="115"/>
        <v>515122</v>
      </c>
      <c r="K553" t="s">
        <v>4</v>
      </c>
      <c r="L553">
        <v>49</v>
      </c>
      <c r="M553">
        <v>49</v>
      </c>
      <c r="N553">
        <v>0</v>
      </c>
      <c r="O553" s="1">
        <v>45583.485254629632</v>
      </c>
      <c r="P553" t="s">
        <v>125</v>
      </c>
    </row>
    <row r="554" spans="1:16" x14ac:dyDescent="0.3">
      <c r="A554" t="s">
        <v>25</v>
      </c>
      <c r="B554" s="1">
        <v>45583.485254629632</v>
      </c>
      <c r="C554" t="str">
        <f t="shared" si="114"/>
        <v>41</v>
      </c>
      <c r="D554" t="s">
        <v>120</v>
      </c>
      <c r="E554" t="s">
        <v>116</v>
      </c>
      <c r="F554" t="s">
        <v>117</v>
      </c>
      <c r="H554" t="s">
        <v>228</v>
      </c>
      <c r="I554" t="str">
        <f>"101050002024070"</f>
        <v>101050002024070</v>
      </c>
      <c r="J554" t="str">
        <f t="shared" si="115"/>
        <v>515122</v>
      </c>
      <c r="K554" t="s">
        <v>4</v>
      </c>
      <c r="L554">
        <v>49</v>
      </c>
      <c r="M554">
        <v>49</v>
      </c>
      <c r="N554">
        <v>0</v>
      </c>
      <c r="O554" s="1">
        <v>45583.485254629632</v>
      </c>
      <c r="P554" t="s">
        <v>125</v>
      </c>
    </row>
    <row r="555" spans="1:16" x14ac:dyDescent="0.3">
      <c r="A555" t="s">
        <v>25</v>
      </c>
      <c r="B555" s="1">
        <v>45583.485254629632</v>
      </c>
      <c r="C555" t="str">
        <f t="shared" si="114"/>
        <v>41</v>
      </c>
      <c r="D555" t="s">
        <v>120</v>
      </c>
      <c r="E555" t="s">
        <v>116</v>
      </c>
      <c r="F555" t="s">
        <v>117</v>
      </c>
      <c r="H555" t="s">
        <v>228</v>
      </c>
      <c r="I555" t="str">
        <f>"101050002023868"</f>
        <v>101050002023868</v>
      </c>
      <c r="J555" t="str">
        <f t="shared" si="115"/>
        <v>515122</v>
      </c>
      <c r="K555" t="s">
        <v>4</v>
      </c>
      <c r="L555">
        <v>49</v>
      </c>
      <c r="M555">
        <v>49</v>
      </c>
      <c r="N555">
        <v>0</v>
      </c>
      <c r="O555" s="1">
        <v>45583.485254629632</v>
      </c>
      <c r="P555" t="s">
        <v>125</v>
      </c>
    </row>
    <row r="556" spans="1:16" x14ac:dyDescent="0.3">
      <c r="A556" t="s">
        <v>25</v>
      </c>
      <c r="B556" s="1">
        <v>45583.485254629632</v>
      </c>
      <c r="C556" t="str">
        <f t="shared" si="114"/>
        <v>41</v>
      </c>
      <c r="D556" t="s">
        <v>120</v>
      </c>
      <c r="E556" t="s">
        <v>116</v>
      </c>
      <c r="F556" t="s">
        <v>117</v>
      </c>
      <c r="H556" t="s">
        <v>228</v>
      </c>
      <c r="I556" t="str">
        <f>"101050002023424"</f>
        <v>101050002023424</v>
      </c>
      <c r="J556" t="str">
        <f t="shared" si="115"/>
        <v>515122</v>
      </c>
      <c r="K556" t="s">
        <v>4</v>
      </c>
      <c r="L556">
        <v>49</v>
      </c>
      <c r="M556">
        <v>49</v>
      </c>
      <c r="N556">
        <v>0</v>
      </c>
      <c r="O556" s="1">
        <v>45583.485254629632</v>
      </c>
      <c r="P556" t="s">
        <v>125</v>
      </c>
    </row>
    <row r="557" spans="1:16" x14ac:dyDescent="0.3">
      <c r="A557" t="s">
        <v>25</v>
      </c>
      <c r="B557" s="1">
        <v>45583.485254629632</v>
      </c>
      <c r="C557" t="str">
        <f t="shared" si="114"/>
        <v>41</v>
      </c>
      <c r="D557" t="s">
        <v>120</v>
      </c>
      <c r="E557" t="s">
        <v>116</v>
      </c>
      <c r="F557" t="s">
        <v>117</v>
      </c>
      <c r="H557" t="s">
        <v>228</v>
      </c>
      <c r="I557" t="str">
        <f>"101050002024035"</f>
        <v>101050002024035</v>
      </c>
      <c r="J557" t="str">
        <f t="shared" si="115"/>
        <v>515122</v>
      </c>
      <c r="K557" t="s">
        <v>4</v>
      </c>
      <c r="L557">
        <v>49</v>
      </c>
      <c r="M557">
        <v>49</v>
      </c>
      <c r="N557">
        <v>0</v>
      </c>
      <c r="O557" s="1">
        <v>45583.485254629632</v>
      </c>
      <c r="P557" t="s">
        <v>125</v>
      </c>
    </row>
    <row r="558" spans="1:16" x14ac:dyDescent="0.3">
      <c r="A558" t="s">
        <v>25</v>
      </c>
      <c r="B558" s="1">
        <v>45583.48474537037</v>
      </c>
      <c r="C558" t="str">
        <f>"38"</f>
        <v>38</v>
      </c>
      <c r="D558" t="s">
        <v>115</v>
      </c>
      <c r="E558" t="s">
        <v>116</v>
      </c>
      <c r="F558" t="s">
        <v>117</v>
      </c>
      <c r="H558" t="s">
        <v>229</v>
      </c>
      <c r="L558">
        <v>0</v>
      </c>
      <c r="M558">
        <v>0</v>
      </c>
      <c r="N558">
        <v>0</v>
      </c>
      <c r="O558" s="1">
        <v>45583.48474537037</v>
      </c>
      <c r="P558" t="s">
        <v>122</v>
      </c>
    </row>
    <row r="559" spans="1:16" x14ac:dyDescent="0.3">
      <c r="A559" t="s">
        <v>25</v>
      </c>
      <c r="B559" s="1">
        <v>45583.48474537037</v>
      </c>
      <c r="C559" t="str">
        <f t="shared" ref="C559:C565" si="116">"41"</f>
        <v>41</v>
      </c>
      <c r="D559" t="s">
        <v>120</v>
      </c>
      <c r="E559" t="s">
        <v>116</v>
      </c>
      <c r="F559" t="s">
        <v>117</v>
      </c>
      <c r="H559" t="s">
        <v>229</v>
      </c>
      <c r="I559" t="str">
        <f>"101050002027044"</f>
        <v>101050002027044</v>
      </c>
      <c r="J559" t="str">
        <f t="shared" ref="J559:J565" si="117">"515122"</f>
        <v>515122</v>
      </c>
      <c r="K559" t="s">
        <v>4</v>
      </c>
      <c r="L559">
        <v>49</v>
      </c>
      <c r="M559">
        <v>49</v>
      </c>
      <c r="N559">
        <v>0</v>
      </c>
      <c r="O559" s="1">
        <v>45583.48474537037</v>
      </c>
      <c r="P559" t="s">
        <v>122</v>
      </c>
    </row>
    <row r="560" spans="1:16" x14ac:dyDescent="0.3">
      <c r="A560" t="s">
        <v>25</v>
      </c>
      <c r="B560" s="1">
        <v>45583.48474537037</v>
      </c>
      <c r="C560" t="str">
        <f t="shared" si="116"/>
        <v>41</v>
      </c>
      <c r="D560" t="s">
        <v>120</v>
      </c>
      <c r="E560" t="s">
        <v>116</v>
      </c>
      <c r="F560" t="s">
        <v>117</v>
      </c>
      <c r="H560" t="s">
        <v>229</v>
      </c>
      <c r="I560" t="str">
        <f>"101050002021912"</f>
        <v>101050002021912</v>
      </c>
      <c r="J560" t="str">
        <f t="shared" si="117"/>
        <v>515122</v>
      </c>
      <c r="K560" t="s">
        <v>4</v>
      </c>
      <c r="L560">
        <v>49</v>
      </c>
      <c r="M560">
        <v>49</v>
      </c>
      <c r="N560">
        <v>0</v>
      </c>
      <c r="O560" s="1">
        <v>45583.48474537037</v>
      </c>
      <c r="P560" t="s">
        <v>122</v>
      </c>
    </row>
    <row r="561" spans="1:16" x14ac:dyDescent="0.3">
      <c r="A561" t="s">
        <v>25</v>
      </c>
      <c r="B561" s="1">
        <v>45583.48474537037</v>
      </c>
      <c r="C561" t="str">
        <f t="shared" si="116"/>
        <v>41</v>
      </c>
      <c r="D561" t="s">
        <v>120</v>
      </c>
      <c r="E561" t="s">
        <v>116</v>
      </c>
      <c r="F561" t="s">
        <v>117</v>
      </c>
      <c r="H561" t="s">
        <v>229</v>
      </c>
      <c r="I561" t="str">
        <f>"101050002021877"</f>
        <v>101050002021877</v>
      </c>
      <c r="J561" t="str">
        <f t="shared" si="117"/>
        <v>515122</v>
      </c>
      <c r="K561" t="s">
        <v>4</v>
      </c>
      <c r="L561">
        <v>49</v>
      </c>
      <c r="M561">
        <v>49</v>
      </c>
      <c r="N561">
        <v>0</v>
      </c>
      <c r="O561" s="1">
        <v>45583.48474537037</v>
      </c>
      <c r="P561" t="s">
        <v>122</v>
      </c>
    </row>
    <row r="562" spans="1:16" x14ac:dyDescent="0.3">
      <c r="A562" t="s">
        <v>25</v>
      </c>
      <c r="B562" s="1">
        <v>45583.48474537037</v>
      </c>
      <c r="C562" t="str">
        <f t="shared" si="116"/>
        <v>41</v>
      </c>
      <c r="D562" t="s">
        <v>120</v>
      </c>
      <c r="E562" t="s">
        <v>116</v>
      </c>
      <c r="F562" t="s">
        <v>117</v>
      </c>
      <c r="H562" t="s">
        <v>229</v>
      </c>
      <c r="I562" t="str">
        <f>"101050002021874"</f>
        <v>101050002021874</v>
      </c>
      <c r="J562" t="str">
        <f t="shared" si="117"/>
        <v>515122</v>
      </c>
      <c r="K562" t="s">
        <v>4</v>
      </c>
      <c r="L562">
        <v>49</v>
      </c>
      <c r="M562">
        <v>49</v>
      </c>
      <c r="N562">
        <v>0</v>
      </c>
      <c r="O562" s="1">
        <v>45583.48474537037</v>
      </c>
      <c r="P562" t="s">
        <v>122</v>
      </c>
    </row>
    <row r="563" spans="1:16" x14ac:dyDescent="0.3">
      <c r="A563" t="s">
        <v>25</v>
      </c>
      <c r="B563" s="1">
        <v>45583.484733796293</v>
      </c>
      <c r="C563" t="str">
        <f t="shared" si="116"/>
        <v>41</v>
      </c>
      <c r="D563" t="s">
        <v>120</v>
      </c>
      <c r="E563" t="s">
        <v>116</v>
      </c>
      <c r="F563" t="s">
        <v>117</v>
      </c>
      <c r="H563" t="s">
        <v>229</v>
      </c>
      <c r="I563" t="str">
        <f>"101050002021875"</f>
        <v>101050002021875</v>
      </c>
      <c r="J563" t="str">
        <f t="shared" si="117"/>
        <v>515122</v>
      </c>
      <c r="K563" t="s">
        <v>4</v>
      </c>
      <c r="L563">
        <v>49</v>
      </c>
      <c r="M563">
        <v>49</v>
      </c>
      <c r="N563">
        <v>0</v>
      </c>
      <c r="O563" s="1">
        <v>45583.484733796293</v>
      </c>
      <c r="P563" t="s">
        <v>122</v>
      </c>
    </row>
    <row r="564" spans="1:16" x14ac:dyDescent="0.3">
      <c r="A564" t="s">
        <v>25</v>
      </c>
      <c r="B564" s="1">
        <v>45583.484733796293</v>
      </c>
      <c r="C564" t="str">
        <f t="shared" si="116"/>
        <v>41</v>
      </c>
      <c r="D564" t="s">
        <v>120</v>
      </c>
      <c r="E564" t="s">
        <v>116</v>
      </c>
      <c r="F564" t="s">
        <v>117</v>
      </c>
      <c r="H564" t="s">
        <v>229</v>
      </c>
      <c r="I564" t="str">
        <f>"101050002026025"</f>
        <v>101050002026025</v>
      </c>
      <c r="J564" t="str">
        <f t="shared" si="117"/>
        <v>515122</v>
      </c>
      <c r="K564" t="s">
        <v>4</v>
      </c>
      <c r="L564">
        <v>49</v>
      </c>
      <c r="M564">
        <v>49</v>
      </c>
      <c r="N564">
        <v>0</v>
      </c>
      <c r="O564" s="1">
        <v>45583.484733796293</v>
      </c>
      <c r="P564" t="s">
        <v>122</v>
      </c>
    </row>
    <row r="565" spans="1:16" x14ac:dyDescent="0.3">
      <c r="A565" t="s">
        <v>25</v>
      </c>
      <c r="B565" s="1">
        <v>45583.484733796293</v>
      </c>
      <c r="C565" t="str">
        <f t="shared" si="116"/>
        <v>41</v>
      </c>
      <c r="D565" t="s">
        <v>120</v>
      </c>
      <c r="E565" t="s">
        <v>116</v>
      </c>
      <c r="F565" t="s">
        <v>117</v>
      </c>
      <c r="H565" t="s">
        <v>229</v>
      </c>
      <c r="I565" t="str">
        <f>"101050002027118"</f>
        <v>101050002027118</v>
      </c>
      <c r="J565" t="str">
        <f t="shared" si="117"/>
        <v>515122</v>
      </c>
      <c r="K565" t="s">
        <v>4</v>
      </c>
      <c r="L565">
        <v>49</v>
      </c>
      <c r="M565">
        <v>49</v>
      </c>
      <c r="N565">
        <v>0</v>
      </c>
      <c r="O565" s="1">
        <v>45583.484733796293</v>
      </c>
      <c r="P565" t="s">
        <v>122</v>
      </c>
    </row>
    <row r="566" spans="1:16" x14ac:dyDescent="0.3">
      <c r="A566" t="s">
        <v>25</v>
      </c>
      <c r="B566" s="1">
        <v>45583.483217592591</v>
      </c>
      <c r="C566" t="str">
        <f>"38"</f>
        <v>38</v>
      </c>
      <c r="D566" t="s">
        <v>115</v>
      </c>
      <c r="E566" t="s">
        <v>116</v>
      </c>
      <c r="F566" t="s">
        <v>117</v>
      </c>
      <c r="H566" t="s">
        <v>230</v>
      </c>
      <c r="L566">
        <v>0</v>
      </c>
      <c r="M566">
        <v>0</v>
      </c>
      <c r="N566">
        <v>0</v>
      </c>
      <c r="O566" s="1">
        <v>45583.483217592591</v>
      </c>
      <c r="P566" t="s">
        <v>122</v>
      </c>
    </row>
    <row r="567" spans="1:16" x14ac:dyDescent="0.3">
      <c r="A567" t="s">
        <v>25</v>
      </c>
      <c r="B567" s="1">
        <v>45583.483217592591</v>
      </c>
      <c r="C567" t="str">
        <f>"43"</f>
        <v>43</v>
      </c>
      <c r="D567" t="s">
        <v>231</v>
      </c>
      <c r="E567" t="s">
        <v>116</v>
      </c>
      <c r="F567" t="s">
        <v>117</v>
      </c>
      <c r="H567" t="s">
        <v>230</v>
      </c>
      <c r="I567" t="str">
        <f>"101050001826009"</f>
        <v>101050001826009</v>
      </c>
      <c r="J567" t="str">
        <f t="shared" ref="J567:J573" si="118">"127802"</f>
        <v>127802</v>
      </c>
      <c r="K567" t="s">
        <v>6</v>
      </c>
      <c r="L567">
        <v>91</v>
      </c>
      <c r="M567">
        <v>91</v>
      </c>
      <c r="N567">
        <v>0</v>
      </c>
      <c r="O567" s="1">
        <v>45583.483217592591</v>
      </c>
      <c r="P567" t="s">
        <v>122</v>
      </c>
    </row>
    <row r="568" spans="1:16" x14ac:dyDescent="0.3">
      <c r="A568" t="s">
        <v>25</v>
      </c>
      <c r="B568" s="1">
        <v>45583.483217592591</v>
      </c>
      <c r="C568" t="str">
        <f t="shared" ref="C568:C573" si="119">"41"</f>
        <v>41</v>
      </c>
      <c r="D568" t="s">
        <v>120</v>
      </c>
      <c r="E568" t="s">
        <v>116</v>
      </c>
      <c r="F568" t="s">
        <v>117</v>
      </c>
      <c r="H568" t="s">
        <v>230</v>
      </c>
      <c r="I568" t="str">
        <f>"101050002026668"</f>
        <v>101050002026668</v>
      </c>
      <c r="J568" t="str">
        <f t="shared" si="118"/>
        <v>127802</v>
      </c>
      <c r="K568" t="s">
        <v>6</v>
      </c>
      <c r="L568">
        <v>91</v>
      </c>
      <c r="M568">
        <v>91</v>
      </c>
      <c r="N568">
        <v>0</v>
      </c>
      <c r="O568" s="1">
        <v>45583.483217592591</v>
      </c>
      <c r="P568" t="s">
        <v>122</v>
      </c>
    </row>
    <row r="569" spans="1:16" x14ac:dyDescent="0.3">
      <c r="A569" t="s">
        <v>25</v>
      </c>
      <c r="B569" s="1">
        <v>45583.483217592591</v>
      </c>
      <c r="C569" t="str">
        <f t="shared" si="119"/>
        <v>41</v>
      </c>
      <c r="D569" t="s">
        <v>120</v>
      </c>
      <c r="E569" t="s">
        <v>116</v>
      </c>
      <c r="F569" t="s">
        <v>117</v>
      </c>
      <c r="H569" t="s">
        <v>230</v>
      </c>
      <c r="I569" t="str">
        <f>"101050002026667"</f>
        <v>101050002026667</v>
      </c>
      <c r="J569" t="str">
        <f t="shared" si="118"/>
        <v>127802</v>
      </c>
      <c r="K569" t="s">
        <v>6</v>
      </c>
      <c r="L569">
        <v>91</v>
      </c>
      <c r="M569">
        <v>91</v>
      </c>
      <c r="N569">
        <v>0</v>
      </c>
      <c r="O569" s="1">
        <v>45583.483217592591</v>
      </c>
      <c r="P569" t="s">
        <v>122</v>
      </c>
    </row>
    <row r="570" spans="1:16" x14ac:dyDescent="0.3">
      <c r="A570" t="s">
        <v>25</v>
      </c>
      <c r="B570" s="1">
        <v>45583.483217592591</v>
      </c>
      <c r="C570" t="str">
        <f t="shared" si="119"/>
        <v>41</v>
      </c>
      <c r="D570" t="s">
        <v>120</v>
      </c>
      <c r="E570" t="s">
        <v>116</v>
      </c>
      <c r="F570" t="s">
        <v>117</v>
      </c>
      <c r="H570" t="s">
        <v>230</v>
      </c>
      <c r="I570" t="str">
        <f>"101050002025668"</f>
        <v>101050002025668</v>
      </c>
      <c r="J570" t="str">
        <f t="shared" si="118"/>
        <v>127802</v>
      </c>
      <c r="K570" t="s">
        <v>6</v>
      </c>
      <c r="L570">
        <v>91</v>
      </c>
      <c r="M570">
        <v>91</v>
      </c>
      <c r="N570">
        <v>0</v>
      </c>
      <c r="O570" s="1">
        <v>45583.483217592591</v>
      </c>
      <c r="P570" t="s">
        <v>122</v>
      </c>
    </row>
    <row r="571" spans="1:16" x14ac:dyDescent="0.3">
      <c r="A571" t="s">
        <v>25</v>
      </c>
      <c r="B571" s="1">
        <v>45583.483217592591</v>
      </c>
      <c r="C571" t="str">
        <f t="shared" si="119"/>
        <v>41</v>
      </c>
      <c r="D571" t="s">
        <v>120</v>
      </c>
      <c r="E571" t="s">
        <v>116</v>
      </c>
      <c r="F571" t="s">
        <v>117</v>
      </c>
      <c r="H571" t="s">
        <v>230</v>
      </c>
      <c r="I571" t="str">
        <f>"101620000472468"</f>
        <v>101620000472468</v>
      </c>
      <c r="J571" t="str">
        <f t="shared" si="118"/>
        <v>127802</v>
      </c>
      <c r="K571" t="s">
        <v>6</v>
      </c>
      <c r="L571">
        <v>91</v>
      </c>
      <c r="M571">
        <v>91</v>
      </c>
      <c r="N571">
        <v>0</v>
      </c>
      <c r="O571" s="1">
        <v>45583.483217592591</v>
      </c>
      <c r="P571" t="s">
        <v>122</v>
      </c>
    </row>
    <row r="572" spans="1:16" x14ac:dyDescent="0.3">
      <c r="A572" t="s">
        <v>25</v>
      </c>
      <c r="B572" s="1">
        <v>45583.483206018522</v>
      </c>
      <c r="C572" t="str">
        <f t="shared" si="119"/>
        <v>41</v>
      </c>
      <c r="D572" t="s">
        <v>120</v>
      </c>
      <c r="E572" t="s">
        <v>116</v>
      </c>
      <c r="F572" t="s">
        <v>117</v>
      </c>
      <c r="H572" t="s">
        <v>230</v>
      </c>
      <c r="I572" t="str">
        <f>"101620000472472"</f>
        <v>101620000472472</v>
      </c>
      <c r="J572" t="str">
        <f t="shared" si="118"/>
        <v>127802</v>
      </c>
      <c r="K572" t="s">
        <v>6</v>
      </c>
      <c r="L572">
        <v>91</v>
      </c>
      <c r="M572">
        <v>91</v>
      </c>
      <c r="N572">
        <v>0</v>
      </c>
      <c r="O572" s="1">
        <v>45583.483206018522</v>
      </c>
      <c r="P572" t="s">
        <v>122</v>
      </c>
    </row>
    <row r="573" spans="1:16" x14ac:dyDescent="0.3">
      <c r="A573" t="s">
        <v>25</v>
      </c>
      <c r="B573" s="1">
        <v>45583.483206018522</v>
      </c>
      <c r="C573" t="str">
        <f t="shared" si="119"/>
        <v>41</v>
      </c>
      <c r="D573" t="s">
        <v>120</v>
      </c>
      <c r="E573" t="s">
        <v>116</v>
      </c>
      <c r="F573" t="s">
        <v>117</v>
      </c>
      <c r="H573" t="s">
        <v>230</v>
      </c>
      <c r="I573" t="str">
        <f>"101620000472470"</f>
        <v>101620000472470</v>
      </c>
      <c r="J573" t="str">
        <f t="shared" si="118"/>
        <v>127802</v>
      </c>
      <c r="K573" t="s">
        <v>6</v>
      </c>
      <c r="L573">
        <v>91</v>
      </c>
      <c r="M573">
        <v>91</v>
      </c>
      <c r="N573">
        <v>0</v>
      </c>
      <c r="O573" s="1">
        <v>45583.483206018522</v>
      </c>
      <c r="P573" t="s">
        <v>122</v>
      </c>
    </row>
    <row r="574" spans="1:16" x14ac:dyDescent="0.3">
      <c r="A574" t="s">
        <v>25</v>
      </c>
      <c r="B574" s="1">
        <v>45583.481550925928</v>
      </c>
      <c r="C574" t="str">
        <f>"38"</f>
        <v>38</v>
      </c>
      <c r="D574" t="s">
        <v>115</v>
      </c>
      <c r="E574" t="s">
        <v>116</v>
      </c>
      <c r="F574" t="s">
        <v>117</v>
      </c>
      <c r="H574" t="s">
        <v>232</v>
      </c>
      <c r="L574">
        <v>0</v>
      </c>
      <c r="M574">
        <v>0</v>
      </c>
      <c r="N574">
        <v>0</v>
      </c>
      <c r="O574" s="1">
        <v>45583.481550925928</v>
      </c>
      <c r="P574" t="s">
        <v>119</v>
      </c>
    </row>
    <row r="575" spans="1:16" x14ac:dyDescent="0.3">
      <c r="A575" t="s">
        <v>25</v>
      </c>
      <c r="B575" s="1">
        <v>45583.481550925928</v>
      </c>
      <c r="C575" t="str">
        <f t="shared" ref="C575:C581" si="120">"41"</f>
        <v>41</v>
      </c>
      <c r="D575" t="s">
        <v>120</v>
      </c>
      <c r="E575" t="s">
        <v>116</v>
      </c>
      <c r="F575" t="s">
        <v>117</v>
      </c>
      <c r="H575" t="s">
        <v>232</v>
      </c>
      <c r="I575" t="str">
        <f>"101050002022515"</f>
        <v>101050002022515</v>
      </c>
      <c r="J575" t="str">
        <f t="shared" ref="J575:J581" si="121">"514913"</f>
        <v>514913</v>
      </c>
      <c r="K575" t="s">
        <v>93</v>
      </c>
      <c r="L575">
        <v>91</v>
      </c>
      <c r="M575">
        <v>91</v>
      </c>
      <c r="N575">
        <v>0</v>
      </c>
      <c r="O575" s="1">
        <v>45583.481550925928</v>
      </c>
      <c r="P575" t="s">
        <v>119</v>
      </c>
    </row>
    <row r="576" spans="1:16" x14ac:dyDescent="0.3">
      <c r="A576" t="s">
        <v>25</v>
      </c>
      <c r="B576" s="1">
        <v>45583.481550925928</v>
      </c>
      <c r="C576" t="str">
        <f t="shared" si="120"/>
        <v>41</v>
      </c>
      <c r="D576" t="s">
        <v>120</v>
      </c>
      <c r="E576" t="s">
        <v>116</v>
      </c>
      <c r="F576" t="s">
        <v>117</v>
      </c>
      <c r="H576" t="s">
        <v>232</v>
      </c>
      <c r="I576" t="str">
        <f>"101050002022450"</f>
        <v>101050002022450</v>
      </c>
      <c r="J576" t="str">
        <f t="shared" si="121"/>
        <v>514913</v>
      </c>
      <c r="K576" t="s">
        <v>93</v>
      </c>
      <c r="L576">
        <v>91</v>
      </c>
      <c r="M576">
        <v>91</v>
      </c>
      <c r="N576">
        <v>0</v>
      </c>
      <c r="O576" s="1">
        <v>45583.481550925928</v>
      </c>
      <c r="P576" t="s">
        <v>119</v>
      </c>
    </row>
    <row r="577" spans="1:16" x14ac:dyDescent="0.3">
      <c r="A577" t="s">
        <v>25</v>
      </c>
      <c r="B577" s="1">
        <v>45583.481550925928</v>
      </c>
      <c r="C577" t="str">
        <f t="shared" si="120"/>
        <v>41</v>
      </c>
      <c r="D577" t="s">
        <v>120</v>
      </c>
      <c r="E577" t="s">
        <v>116</v>
      </c>
      <c r="F577" t="s">
        <v>117</v>
      </c>
      <c r="H577" t="s">
        <v>232</v>
      </c>
      <c r="I577" t="str">
        <f>"101050002022517"</f>
        <v>101050002022517</v>
      </c>
      <c r="J577" t="str">
        <f t="shared" si="121"/>
        <v>514913</v>
      </c>
      <c r="K577" t="s">
        <v>93</v>
      </c>
      <c r="L577">
        <v>91</v>
      </c>
      <c r="M577">
        <v>91</v>
      </c>
      <c r="N577">
        <v>0</v>
      </c>
      <c r="O577" s="1">
        <v>45583.481550925928</v>
      </c>
      <c r="P577" t="s">
        <v>119</v>
      </c>
    </row>
    <row r="578" spans="1:16" x14ac:dyDescent="0.3">
      <c r="A578" t="s">
        <v>25</v>
      </c>
      <c r="B578" s="1">
        <v>45583.481550925928</v>
      </c>
      <c r="C578" t="str">
        <f t="shared" si="120"/>
        <v>41</v>
      </c>
      <c r="D578" t="s">
        <v>120</v>
      </c>
      <c r="E578" t="s">
        <v>116</v>
      </c>
      <c r="F578" t="s">
        <v>117</v>
      </c>
      <c r="H578" t="s">
        <v>232</v>
      </c>
      <c r="I578" t="str">
        <f>"101050002022516"</f>
        <v>101050002022516</v>
      </c>
      <c r="J578" t="str">
        <f t="shared" si="121"/>
        <v>514913</v>
      </c>
      <c r="K578" t="s">
        <v>93</v>
      </c>
      <c r="L578">
        <v>91</v>
      </c>
      <c r="M578">
        <v>91</v>
      </c>
      <c r="N578">
        <v>0</v>
      </c>
      <c r="O578" s="1">
        <v>45583.481550925928</v>
      </c>
      <c r="P578" t="s">
        <v>119</v>
      </c>
    </row>
    <row r="579" spans="1:16" x14ac:dyDescent="0.3">
      <c r="A579" t="s">
        <v>25</v>
      </c>
      <c r="B579" s="1">
        <v>45583.481550925928</v>
      </c>
      <c r="C579" t="str">
        <f t="shared" si="120"/>
        <v>41</v>
      </c>
      <c r="D579" t="s">
        <v>120</v>
      </c>
      <c r="E579" t="s">
        <v>116</v>
      </c>
      <c r="F579" t="s">
        <v>117</v>
      </c>
      <c r="H579" t="s">
        <v>232</v>
      </c>
      <c r="I579" t="str">
        <f>"101050002022193"</f>
        <v>101050002022193</v>
      </c>
      <c r="J579" t="str">
        <f t="shared" si="121"/>
        <v>514913</v>
      </c>
      <c r="K579" t="s">
        <v>93</v>
      </c>
      <c r="L579">
        <v>91</v>
      </c>
      <c r="M579">
        <v>91</v>
      </c>
      <c r="N579">
        <v>0</v>
      </c>
      <c r="O579" s="1">
        <v>45583.481550925928</v>
      </c>
      <c r="P579" t="s">
        <v>119</v>
      </c>
    </row>
    <row r="580" spans="1:16" x14ac:dyDescent="0.3">
      <c r="A580" t="s">
        <v>25</v>
      </c>
      <c r="B580" s="1">
        <v>45583.481550925928</v>
      </c>
      <c r="C580" t="str">
        <f t="shared" si="120"/>
        <v>41</v>
      </c>
      <c r="D580" t="s">
        <v>120</v>
      </c>
      <c r="E580" t="s">
        <v>116</v>
      </c>
      <c r="F580" t="s">
        <v>117</v>
      </c>
      <c r="H580" t="s">
        <v>232</v>
      </c>
      <c r="I580" t="str">
        <f>"101050002022315"</f>
        <v>101050002022315</v>
      </c>
      <c r="J580" t="str">
        <f t="shared" si="121"/>
        <v>514913</v>
      </c>
      <c r="K580" t="s">
        <v>93</v>
      </c>
      <c r="L580">
        <v>91</v>
      </c>
      <c r="M580">
        <v>91</v>
      </c>
      <c r="N580">
        <v>0</v>
      </c>
      <c r="O580" s="1">
        <v>45583.481550925928</v>
      </c>
      <c r="P580" t="s">
        <v>119</v>
      </c>
    </row>
    <row r="581" spans="1:16" x14ac:dyDescent="0.3">
      <c r="A581" t="s">
        <v>25</v>
      </c>
      <c r="B581" s="1">
        <v>45583.481550925928</v>
      </c>
      <c r="C581" t="str">
        <f t="shared" si="120"/>
        <v>41</v>
      </c>
      <c r="D581" t="s">
        <v>120</v>
      </c>
      <c r="E581" t="s">
        <v>116</v>
      </c>
      <c r="F581" t="s">
        <v>117</v>
      </c>
      <c r="H581" t="s">
        <v>232</v>
      </c>
      <c r="I581" t="str">
        <f>"101050002021844"</f>
        <v>101050002021844</v>
      </c>
      <c r="J581" t="str">
        <f t="shared" si="121"/>
        <v>514913</v>
      </c>
      <c r="K581" t="s">
        <v>93</v>
      </c>
      <c r="L581">
        <v>91</v>
      </c>
      <c r="M581">
        <v>91</v>
      </c>
      <c r="N581">
        <v>0</v>
      </c>
      <c r="O581" s="1">
        <v>45583.481550925928</v>
      </c>
      <c r="P581" t="s">
        <v>119</v>
      </c>
    </row>
    <row r="582" spans="1:16" x14ac:dyDescent="0.3">
      <c r="A582" t="s">
        <v>25</v>
      </c>
      <c r="B582" s="1">
        <v>45583.481724537036</v>
      </c>
      <c r="C582" t="str">
        <f>"38"</f>
        <v>38</v>
      </c>
      <c r="D582" t="s">
        <v>115</v>
      </c>
      <c r="E582" t="s">
        <v>116</v>
      </c>
      <c r="F582" t="s">
        <v>117</v>
      </c>
      <c r="H582" t="s">
        <v>233</v>
      </c>
      <c r="L582">
        <v>0</v>
      </c>
      <c r="M582">
        <v>0</v>
      </c>
      <c r="N582">
        <v>0</v>
      </c>
      <c r="O582" s="1">
        <v>45583.481724537036</v>
      </c>
      <c r="P582" t="s">
        <v>138</v>
      </c>
    </row>
    <row r="583" spans="1:16" x14ac:dyDescent="0.3">
      <c r="A583" t="s">
        <v>25</v>
      </c>
      <c r="B583" s="1">
        <v>45583.481724537036</v>
      </c>
      <c r="C583" t="str">
        <f t="shared" ref="C583:C589" si="122">"41"</f>
        <v>41</v>
      </c>
      <c r="D583" t="s">
        <v>120</v>
      </c>
      <c r="E583" t="s">
        <v>116</v>
      </c>
      <c r="F583" t="s">
        <v>117</v>
      </c>
      <c r="H583" t="s">
        <v>233</v>
      </c>
      <c r="I583" t="str">
        <f>"101050002020554"</f>
        <v>101050002020554</v>
      </c>
      <c r="J583" t="str">
        <f t="shared" ref="J583:J589" si="123">"515122"</f>
        <v>515122</v>
      </c>
      <c r="K583" t="s">
        <v>4</v>
      </c>
      <c r="L583">
        <v>49</v>
      </c>
      <c r="M583">
        <v>49</v>
      </c>
      <c r="N583">
        <v>0</v>
      </c>
      <c r="O583" s="1">
        <v>45583.481724537036</v>
      </c>
      <c r="P583" t="s">
        <v>138</v>
      </c>
    </row>
    <row r="584" spans="1:16" x14ac:dyDescent="0.3">
      <c r="A584" t="s">
        <v>25</v>
      </c>
      <c r="B584" s="1">
        <v>45583.481724537036</v>
      </c>
      <c r="C584" t="str">
        <f t="shared" si="122"/>
        <v>41</v>
      </c>
      <c r="D584" t="s">
        <v>120</v>
      </c>
      <c r="E584" t="s">
        <v>116</v>
      </c>
      <c r="F584" t="s">
        <v>117</v>
      </c>
      <c r="H584" t="s">
        <v>233</v>
      </c>
      <c r="I584" t="str">
        <f>"101050002020551"</f>
        <v>101050002020551</v>
      </c>
      <c r="J584" t="str">
        <f t="shared" si="123"/>
        <v>515122</v>
      </c>
      <c r="K584" t="s">
        <v>4</v>
      </c>
      <c r="L584">
        <v>49</v>
      </c>
      <c r="M584">
        <v>49</v>
      </c>
      <c r="N584">
        <v>0</v>
      </c>
      <c r="O584" s="1">
        <v>45583.481724537036</v>
      </c>
      <c r="P584" t="s">
        <v>138</v>
      </c>
    </row>
    <row r="585" spans="1:16" x14ac:dyDescent="0.3">
      <c r="A585" t="s">
        <v>25</v>
      </c>
      <c r="B585" s="1">
        <v>45583.481724537036</v>
      </c>
      <c r="C585" t="str">
        <f t="shared" si="122"/>
        <v>41</v>
      </c>
      <c r="D585" t="s">
        <v>120</v>
      </c>
      <c r="E585" t="s">
        <v>116</v>
      </c>
      <c r="F585" t="s">
        <v>117</v>
      </c>
      <c r="H585" t="s">
        <v>233</v>
      </c>
      <c r="I585" t="str">
        <f>"101050002027584"</f>
        <v>101050002027584</v>
      </c>
      <c r="J585" t="str">
        <f t="shared" si="123"/>
        <v>515122</v>
      </c>
      <c r="K585" t="s">
        <v>4</v>
      </c>
      <c r="L585">
        <v>49</v>
      </c>
      <c r="M585">
        <v>49</v>
      </c>
      <c r="N585">
        <v>0</v>
      </c>
      <c r="O585" s="1">
        <v>45583.481724537036</v>
      </c>
      <c r="P585" t="s">
        <v>138</v>
      </c>
    </row>
    <row r="586" spans="1:16" x14ac:dyDescent="0.3">
      <c r="A586" t="s">
        <v>25</v>
      </c>
      <c r="B586" s="1">
        <v>45583.481724537036</v>
      </c>
      <c r="C586" t="str">
        <f t="shared" si="122"/>
        <v>41</v>
      </c>
      <c r="D586" t="s">
        <v>120</v>
      </c>
      <c r="E586" t="s">
        <v>116</v>
      </c>
      <c r="F586" t="s">
        <v>117</v>
      </c>
      <c r="H586" t="s">
        <v>233</v>
      </c>
      <c r="I586" t="str">
        <f>"101050002022792"</f>
        <v>101050002022792</v>
      </c>
      <c r="J586" t="str">
        <f t="shared" si="123"/>
        <v>515122</v>
      </c>
      <c r="K586" t="s">
        <v>4</v>
      </c>
      <c r="L586">
        <v>49</v>
      </c>
      <c r="M586">
        <v>49</v>
      </c>
      <c r="N586">
        <v>0</v>
      </c>
      <c r="O586" s="1">
        <v>45583.481724537036</v>
      </c>
      <c r="P586" t="s">
        <v>138</v>
      </c>
    </row>
    <row r="587" spans="1:16" x14ac:dyDescent="0.3">
      <c r="A587" t="s">
        <v>25</v>
      </c>
      <c r="B587" s="1">
        <v>45583.481724537036</v>
      </c>
      <c r="C587" t="str">
        <f t="shared" si="122"/>
        <v>41</v>
      </c>
      <c r="D587" t="s">
        <v>120</v>
      </c>
      <c r="E587" t="s">
        <v>116</v>
      </c>
      <c r="F587" t="s">
        <v>117</v>
      </c>
      <c r="H587" t="s">
        <v>233</v>
      </c>
      <c r="I587" t="str">
        <f>"101050002021749"</f>
        <v>101050002021749</v>
      </c>
      <c r="J587" t="str">
        <f t="shared" si="123"/>
        <v>515122</v>
      </c>
      <c r="K587" t="s">
        <v>4</v>
      </c>
      <c r="L587">
        <v>49</v>
      </c>
      <c r="M587">
        <v>49</v>
      </c>
      <c r="N587">
        <v>0</v>
      </c>
      <c r="O587" s="1">
        <v>45583.481724537036</v>
      </c>
      <c r="P587" t="s">
        <v>138</v>
      </c>
    </row>
    <row r="588" spans="1:16" x14ac:dyDescent="0.3">
      <c r="A588" t="s">
        <v>25</v>
      </c>
      <c r="B588" s="1">
        <v>45583.481724537036</v>
      </c>
      <c r="C588" t="str">
        <f t="shared" si="122"/>
        <v>41</v>
      </c>
      <c r="D588" t="s">
        <v>120</v>
      </c>
      <c r="E588" t="s">
        <v>116</v>
      </c>
      <c r="F588" t="s">
        <v>117</v>
      </c>
      <c r="H588" t="s">
        <v>233</v>
      </c>
      <c r="I588" t="str">
        <f>"101050002021771"</f>
        <v>101050002021771</v>
      </c>
      <c r="J588" t="str">
        <f t="shared" si="123"/>
        <v>515122</v>
      </c>
      <c r="K588" t="s">
        <v>4</v>
      </c>
      <c r="L588">
        <v>49</v>
      </c>
      <c r="M588">
        <v>49</v>
      </c>
      <c r="N588">
        <v>0</v>
      </c>
      <c r="O588" s="1">
        <v>45583.481724537036</v>
      </c>
      <c r="P588" t="s">
        <v>138</v>
      </c>
    </row>
    <row r="589" spans="1:16" x14ac:dyDescent="0.3">
      <c r="A589" t="s">
        <v>25</v>
      </c>
      <c r="B589" s="1">
        <v>45583.481724537036</v>
      </c>
      <c r="C589" t="str">
        <f t="shared" si="122"/>
        <v>41</v>
      </c>
      <c r="D589" t="s">
        <v>120</v>
      </c>
      <c r="E589" t="s">
        <v>116</v>
      </c>
      <c r="F589" t="s">
        <v>117</v>
      </c>
      <c r="H589" t="s">
        <v>233</v>
      </c>
      <c r="I589" t="str">
        <f>"101050002021748"</f>
        <v>101050002021748</v>
      </c>
      <c r="J589" t="str">
        <f t="shared" si="123"/>
        <v>515122</v>
      </c>
      <c r="K589" t="s">
        <v>4</v>
      </c>
      <c r="L589">
        <v>49</v>
      </c>
      <c r="M589">
        <v>49</v>
      </c>
      <c r="N589">
        <v>0</v>
      </c>
      <c r="O589" s="1">
        <v>45583.481724537036</v>
      </c>
      <c r="P589" t="s">
        <v>138</v>
      </c>
    </row>
    <row r="590" spans="1:16" x14ac:dyDescent="0.3">
      <c r="A590" t="s">
        <v>25</v>
      </c>
      <c r="B590" s="1">
        <v>45583.480833333335</v>
      </c>
      <c r="C590" t="str">
        <f>"38"</f>
        <v>38</v>
      </c>
      <c r="D590" t="s">
        <v>115</v>
      </c>
      <c r="E590" t="s">
        <v>116</v>
      </c>
      <c r="F590" t="s">
        <v>117</v>
      </c>
      <c r="H590" t="s">
        <v>234</v>
      </c>
      <c r="L590">
        <v>0</v>
      </c>
      <c r="M590">
        <v>0</v>
      </c>
      <c r="N590">
        <v>0</v>
      </c>
      <c r="O590" s="1">
        <v>45583.480833333335</v>
      </c>
      <c r="P590" t="s">
        <v>138</v>
      </c>
    </row>
    <row r="591" spans="1:16" x14ac:dyDescent="0.3">
      <c r="A591" t="s">
        <v>25</v>
      </c>
      <c r="B591" s="1">
        <v>45583.480833333335</v>
      </c>
      <c r="C591" t="str">
        <f>"41"</f>
        <v>41</v>
      </c>
      <c r="D591" t="s">
        <v>120</v>
      </c>
      <c r="E591" t="s">
        <v>116</v>
      </c>
      <c r="F591" t="s">
        <v>117</v>
      </c>
      <c r="H591" t="s">
        <v>234</v>
      </c>
      <c r="I591" t="str">
        <f>"101050001990283"</f>
        <v>101050001990283</v>
      </c>
      <c r="J591" t="str">
        <f>"514988"</f>
        <v>514988</v>
      </c>
      <c r="K591" t="s">
        <v>94</v>
      </c>
      <c r="L591">
        <v>49</v>
      </c>
      <c r="M591">
        <v>49</v>
      </c>
      <c r="N591">
        <v>0</v>
      </c>
      <c r="O591" s="1">
        <v>45583.480833333335</v>
      </c>
      <c r="P591" t="s">
        <v>138</v>
      </c>
    </row>
    <row r="592" spans="1:16" x14ac:dyDescent="0.3">
      <c r="A592" t="s">
        <v>25</v>
      </c>
      <c r="B592" s="1">
        <v>45583.480833333335</v>
      </c>
      <c r="C592" t="str">
        <f>"41"</f>
        <v>41</v>
      </c>
      <c r="D592" t="s">
        <v>120</v>
      </c>
      <c r="E592" t="s">
        <v>116</v>
      </c>
      <c r="F592" t="s">
        <v>117</v>
      </c>
      <c r="H592" t="s">
        <v>234</v>
      </c>
      <c r="I592" t="str">
        <f>"101050001992196"</f>
        <v>101050001992196</v>
      </c>
      <c r="J592" t="str">
        <f>"514988"</f>
        <v>514988</v>
      </c>
      <c r="K592" t="s">
        <v>94</v>
      </c>
      <c r="L592">
        <v>49</v>
      </c>
      <c r="M592">
        <v>49</v>
      </c>
      <c r="N592">
        <v>0</v>
      </c>
      <c r="O592" s="1">
        <v>45583.480833333335</v>
      </c>
      <c r="P592" t="s">
        <v>138</v>
      </c>
    </row>
    <row r="593" spans="1:16" x14ac:dyDescent="0.3">
      <c r="A593" t="s">
        <v>25</v>
      </c>
      <c r="B593" s="1">
        <v>45583.480833333335</v>
      </c>
      <c r="C593" t="str">
        <f>"41"</f>
        <v>41</v>
      </c>
      <c r="D593" t="s">
        <v>120</v>
      </c>
      <c r="E593" t="s">
        <v>116</v>
      </c>
      <c r="F593" t="s">
        <v>117</v>
      </c>
      <c r="H593" t="s">
        <v>234</v>
      </c>
      <c r="I593" t="str">
        <f>"101050001991871"</f>
        <v>101050001991871</v>
      </c>
      <c r="J593" t="str">
        <f>"514988"</f>
        <v>514988</v>
      </c>
      <c r="K593" t="s">
        <v>94</v>
      </c>
      <c r="L593">
        <v>49</v>
      </c>
      <c r="M593">
        <v>49</v>
      </c>
      <c r="N593">
        <v>0</v>
      </c>
      <c r="O593" s="1">
        <v>45583.480833333335</v>
      </c>
      <c r="P593" t="s">
        <v>138</v>
      </c>
    </row>
    <row r="594" spans="1:16" x14ac:dyDescent="0.3">
      <c r="A594" t="s">
        <v>25</v>
      </c>
      <c r="B594" s="1">
        <v>45583.480833333335</v>
      </c>
      <c r="C594" t="str">
        <f>"41"</f>
        <v>41</v>
      </c>
      <c r="D594" t="s">
        <v>120</v>
      </c>
      <c r="E594" t="s">
        <v>116</v>
      </c>
      <c r="F594" t="s">
        <v>117</v>
      </c>
      <c r="H594" t="s">
        <v>234</v>
      </c>
      <c r="I594" t="str">
        <f>"101050001991578"</f>
        <v>101050001991578</v>
      </c>
      <c r="J594" t="str">
        <f>"514988"</f>
        <v>514988</v>
      </c>
      <c r="K594" t="s">
        <v>94</v>
      </c>
      <c r="L594">
        <v>49</v>
      </c>
      <c r="M594">
        <v>49</v>
      </c>
      <c r="N594">
        <v>0</v>
      </c>
      <c r="O594" s="1">
        <v>45583.480833333335</v>
      </c>
      <c r="P594" t="s">
        <v>138</v>
      </c>
    </row>
    <row r="595" spans="1:16" x14ac:dyDescent="0.3">
      <c r="A595" t="s">
        <v>25</v>
      </c>
      <c r="B595" s="1">
        <v>45583.480821759258</v>
      </c>
      <c r="C595" t="str">
        <f>"41"</f>
        <v>41</v>
      </c>
      <c r="D595" t="s">
        <v>120</v>
      </c>
      <c r="E595" t="s">
        <v>116</v>
      </c>
      <c r="F595" t="s">
        <v>117</v>
      </c>
      <c r="H595" t="s">
        <v>234</v>
      </c>
      <c r="I595" t="str">
        <f>"101050001991873"</f>
        <v>101050001991873</v>
      </c>
      <c r="J595" t="str">
        <f>"514988"</f>
        <v>514988</v>
      </c>
      <c r="K595" t="s">
        <v>94</v>
      </c>
      <c r="L595">
        <v>49</v>
      </c>
      <c r="M595">
        <v>49</v>
      </c>
      <c r="N595">
        <v>0</v>
      </c>
      <c r="O595" s="1">
        <v>45583.480821759258</v>
      </c>
      <c r="P595" t="s">
        <v>138</v>
      </c>
    </row>
    <row r="596" spans="1:16" x14ac:dyDescent="0.3">
      <c r="A596" t="s">
        <v>25</v>
      </c>
      <c r="B596" s="1">
        <v>45583.477800925924</v>
      </c>
      <c r="C596" t="str">
        <f>"38"</f>
        <v>38</v>
      </c>
      <c r="D596" t="s">
        <v>115</v>
      </c>
      <c r="E596" t="s">
        <v>116</v>
      </c>
      <c r="F596" t="s">
        <v>117</v>
      </c>
      <c r="H596" t="s">
        <v>235</v>
      </c>
      <c r="L596">
        <v>0</v>
      </c>
      <c r="M596">
        <v>0</v>
      </c>
      <c r="N596">
        <v>0</v>
      </c>
      <c r="O596" s="1">
        <v>45583.477800925924</v>
      </c>
      <c r="P596" t="s">
        <v>138</v>
      </c>
    </row>
    <row r="597" spans="1:16" x14ac:dyDescent="0.3">
      <c r="A597" t="s">
        <v>25</v>
      </c>
      <c r="B597" s="1">
        <v>45583.477800925924</v>
      </c>
      <c r="C597" t="str">
        <f>"41"</f>
        <v>41</v>
      </c>
      <c r="D597" t="s">
        <v>120</v>
      </c>
      <c r="E597" t="s">
        <v>116</v>
      </c>
      <c r="F597" t="s">
        <v>117</v>
      </c>
      <c r="H597" t="s">
        <v>235</v>
      </c>
      <c r="I597" t="str">
        <f>"101050001986073"</f>
        <v>101050001986073</v>
      </c>
      <c r="J597" t="str">
        <f>"514913"</f>
        <v>514913</v>
      </c>
      <c r="K597" t="s">
        <v>93</v>
      </c>
      <c r="L597">
        <v>91</v>
      </c>
      <c r="M597">
        <v>91</v>
      </c>
      <c r="N597">
        <v>0</v>
      </c>
      <c r="O597" s="1">
        <v>45583.477800925924</v>
      </c>
      <c r="P597" t="s">
        <v>138</v>
      </c>
    </row>
    <row r="598" spans="1:16" x14ac:dyDescent="0.3">
      <c r="A598" t="s">
        <v>25</v>
      </c>
      <c r="B598" s="1">
        <v>45583.477800925924</v>
      </c>
      <c r="C598" t="str">
        <f>"41"</f>
        <v>41</v>
      </c>
      <c r="D598" t="s">
        <v>120</v>
      </c>
      <c r="E598" t="s">
        <v>116</v>
      </c>
      <c r="F598" t="s">
        <v>117</v>
      </c>
      <c r="H598" t="s">
        <v>235</v>
      </c>
      <c r="I598" t="str">
        <f>"101050001973746"</f>
        <v>101050001973746</v>
      </c>
      <c r="J598" t="str">
        <f>"514913"</f>
        <v>514913</v>
      </c>
      <c r="K598" t="s">
        <v>93</v>
      </c>
      <c r="L598">
        <v>91</v>
      </c>
      <c r="M598">
        <v>91</v>
      </c>
      <c r="N598">
        <v>0</v>
      </c>
      <c r="O598" s="1">
        <v>45583.477800925924</v>
      </c>
      <c r="P598" t="s">
        <v>138</v>
      </c>
    </row>
    <row r="599" spans="1:16" x14ac:dyDescent="0.3">
      <c r="A599" t="s">
        <v>25</v>
      </c>
      <c r="B599" s="1">
        <v>45583.477800925924</v>
      </c>
      <c r="C599" t="str">
        <f>"41"</f>
        <v>41</v>
      </c>
      <c r="D599" t="s">
        <v>120</v>
      </c>
      <c r="E599" t="s">
        <v>116</v>
      </c>
      <c r="F599" t="s">
        <v>117</v>
      </c>
      <c r="H599" t="s">
        <v>235</v>
      </c>
      <c r="I599" t="str">
        <f>"101050001973289"</f>
        <v>101050001973289</v>
      </c>
      <c r="J599" t="str">
        <f>"514913"</f>
        <v>514913</v>
      </c>
      <c r="K599" t="s">
        <v>93</v>
      </c>
      <c r="L599">
        <v>91</v>
      </c>
      <c r="M599">
        <v>91</v>
      </c>
      <c r="N599">
        <v>0</v>
      </c>
      <c r="O599" s="1">
        <v>45583.477800925924</v>
      </c>
      <c r="P599" t="s">
        <v>138</v>
      </c>
    </row>
    <row r="600" spans="1:16" x14ac:dyDescent="0.3">
      <c r="A600" t="s">
        <v>25</v>
      </c>
      <c r="B600" s="1">
        <v>45583.47729166667</v>
      </c>
      <c r="C600" t="str">
        <f>"38"</f>
        <v>38</v>
      </c>
      <c r="D600" t="s">
        <v>115</v>
      </c>
      <c r="E600" t="s">
        <v>116</v>
      </c>
      <c r="F600" t="s">
        <v>117</v>
      </c>
      <c r="H600" t="s">
        <v>236</v>
      </c>
      <c r="L600">
        <v>0</v>
      </c>
      <c r="M600">
        <v>0</v>
      </c>
      <c r="N600">
        <v>0</v>
      </c>
      <c r="O600" s="1">
        <v>45583.47729166667</v>
      </c>
      <c r="P600" t="s">
        <v>138</v>
      </c>
    </row>
    <row r="601" spans="1:16" x14ac:dyDescent="0.3">
      <c r="A601" t="s">
        <v>25</v>
      </c>
      <c r="B601" s="1">
        <v>45583.47761574074</v>
      </c>
      <c r="C601" t="str">
        <f>"38"</f>
        <v>38</v>
      </c>
      <c r="D601" t="s">
        <v>115</v>
      </c>
      <c r="E601" t="s">
        <v>116</v>
      </c>
      <c r="F601" t="s">
        <v>117</v>
      </c>
      <c r="H601" t="s">
        <v>237</v>
      </c>
      <c r="L601">
        <v>0</v>
      </c>
      <c r="M601">
        <v>0</v>
      </c>
      <c r="N601">
        <v>0</v>
      </c>
      <c r="O601" s="1">
        <v>45583.47761574074</v>
      </c>
      <c r="P601" t="s">
        <v>119</v>
      </c>
    </row>
    <row r="602" spans="1:16" x14ac:dyDescent="0.3">
      <c r="A602" t="s">
        <v>25</v>
      </c>
      <c r="B602" s="1">
        <v>45583.47761574074</v>
      </c>
      <c r="C602" t="str">
        <f t="shared" ref="C602:C615" si="124">"41"</f>
        <v>41</v>
      </c>
      <c r="D602" t="s">
        <v>120</v>
      </c>
      <c r="E602" t="s">
        <v>116</v>
      </c>
      <c r="F602" t="s">
        <v>117</v>
      </c>
      <c r="H602" t="s">
        <v>237</v>
      </c>
      <c r="I602" t="str">
        <f>"101050002022772"</f>
        <v>101050002022772</v>
      </c>
      <c r="J602" t="str">
        <f t="shared" ref="J602:J615" si="125">"515120"</f>
        <v>515120</v>
      </c>
      <c r="K602" t="s">
        <v>2</v>
      </c>
      <c r="L602">
        <v>49</v>
      </c>
      <c r="M602">
        <v>49</v>
      </c>
      <c r="N602">
        <v>0</v>
      </c>
      <c r="O602" s="1">
        <v>45583.47761574074</v>
      </c>
      <c r="P602" t="s">
        <v>119</v>
      </c>
    </row>
    <row r="603" spans="1:16" x14ac:dyDescent="0.3">
      <c r="A603" t="s">
        <v>25</v>
      </c>
      <c r="B603" s="1">
        <v>45583.47760416667</v>
      </c>
      <c r="C603" t="str">
        <f t="shared" si="124"/>
        <v>41</v>
      </c>
      <c r="D603" t="s">
        <v>120</v>
      </c>
      <c r="E603" t="s">
        <v>116</v>
      </c>
      <c r="F603" t="s">
        <v>117</v>
      </c>
      <c r="H603" t="s">
        <v>237</v>
      </c>
      <c r="I603" t="str">
        <f>"101050002022272"</f>
        <v>101050002022272</v>
      </c>
      <c r="J603" t="str">
        <f t="shared" si="125"/>
        <v>515120</v>
      </c>
      <c r="K603" t="s">
        <v>2</v>
      </c>
      <c r="L603">
        <v>49</v>
      </c>
      <c r="M603">
        <v>49</v>
      </c>
      <c r="N603">
        <v>0</v>
      </c>
      <c r="O603" s="1">
        <v>45583.47760416667</v>
      </c>
      <c r="P603" t="s">
        <v>119</v>
      </c>
    </row>
    <row r="604" spans="1:16" x14ac:dyDescent="0.3">
      <c r="A604" t="s">
        <v>25</v>
      </c>
      <c r="B604" s="1">
        <v>45583.47760416667</v>
      </c>
      <c r="C604" t="str">
        <f t="shared" si="124"/>
        <v>41</v>
      </c>
      <c r="D604" t="s">
        <v>120</v>
      </c>
      <c r="E604" t="s">
        <v>116</v>
      </c>
      <c r="F604" t="s">
        <v>117</v>
      </c>
      <c r="H604" t="s">
        <v>237</v>
      </c>
      <c r="I604" t="str">
        <f>"101050002022597"</f>
        <v>101050002022597</v>
      </c>
      <c r="J604" t="str">
        <f t="shared" si="125"/>
        <v>515120</v>
      </c>
      <c r="K604" t="s">
        <v>2</v>
      </c>
      <c r="L604">
        <v>49</v>
      </c>
      <c r="M604">
        <v>49</v>
      </c>
      <c r="N604">
        <v>0</v>
      </c>
      <c r="O604" s="1">
        <v>45583.47760416667</v>
      </c>
      <c r="P604" t="s">
        <v>119</v>
      </c>
    </row>
    <row r="605" spans="1:16" x14ac:dyDescent="0.3">
      <c r="A605" t="s">
        <v>25</v>
      </c>
      <c r="B605" s="1">
        <v>45583.47760416667</v>
      </c>
      <c r="C605" t="str">
        <f t="shared" si="124"/>
        <v>41</v>
      </c>
      <c r="D605" t="s">
        <v>120</v>
      </c>
      <c r="E605" t="s">
        <v>116</v>
      </c>
      <c r="F605" t="s">
        <v>117</v>
      </c>
      <c r="H605" t="s">
        <v>237</v>
      </c>
      <c r="I605" t="str">
        <f>"101050002022595"</f>
        <v>101050002022595</v>
      </c>
      <c r="J605" t="str">
        <f t="shared" si="125"/>
        <v>515120</v>
      </c>
      <c r="K605" t="s">
        <v>2</v>
      </c>
      <c r="L605">
        <v>49</v>
      </c>
      <c r="M605">
        <v>49</v>
      </c>
      <c r="N605">
        <v>0</v>
      </c>
      <c r="O605" s="1">
        <v>45583.47760416667</v>
      </c>
      <c r="P605" t="s">
        <v>119</v>
      </c>
    </row>
    <row r="606" spans="1:16" x14ac:dyDescent="0.3">
      <c r="A606" t="s">
        <v>25</v>
      </c>
      <c r="B606" s="1">
        <v>45583.47760416667</v>
      </c>
      <c r="C606" t="str">
        <f t="shared" si="124"/>
        <v>41</v>
      </c>
      <c r="D606" t="s">
        <v>120</v>
      </c>
      <c r="E606" t="s">
        <v>116</v>
      </c>
      <c r="F606" t="s">
        <v>117</v>
      </c>
      <c r="H606" t="s">
        <v>237</v>
      </c>
      <c r="I606" t="str">
        <f>"101050002022496"</f>
        <v>101050002022496</v>
      </c>
      <c r="J606" t="str">
        <f t="shared" si="125"/>
        <v>515120</v>
      </c>
      <c r="K606" t="s">
        <v>2</v>
      </c>
      <c r="L606">
        <v>49</v>
      </c>
      <c r="M606">
        <v>49</v>
      </c>
      <c r="N606">
        <v>0</v>
      </c>
      <c r="O606" s="1">
        <v>45583.47760416667</v>
      </c>
      <c r="P606" t="s">
        <v>119</v>
      </c>
    </row>
    <row r="607" spans="1:16" x14ac:dyDescent="0.3">
      <c r="A607" t="s">
        <v>25</v>
      </c>
      <c r="B607" s="1">
        <v>45583.47760416667</v>
      </c>
      <c r="C607" t="str">
        <f t="shared" si="124"/>
        <v>41</v>
      </c>
      <c r="D607" t="s">
        <v>120</v>
      </c>
      <c r="E607" t="s">
        <v>116</v>
      </c>
      <c r="F607" t="s">
        <v>117</v>
      </c>
      <c r="H607" t="s">
        <v>237</v>
      </c>
      <c r="I607" t="str">
        <f>"101050002022498"</f>
        <v>101050002022498</v>
      </c>
      <c r="J607" t="str">
        <f t="shared" si="125"/>
        <v>515120</v>
      </c>
      <c r="K607" t="s">
        <v>2</v>
      </c>
      <c r="L607">
        <v>49</v>
      </c>
      <c r="M607">
        <v>49</v>
      </c>
      <c r="N607">
        <v>0</v>
      </c>
      <c r="O607" s="1">
        <v>45583.47760416667</v>
      </c>
      <c r="P607" t="s">
        <v>119</v>
      </c>
    </row>
    <row r="608" spans="1:16" x14ac:dyDescent="0.3">
      <c r="A608" t="s">
        <v>25</v>
      </c>
      <c r="B608" s="1">
        <v>45583.47760416667</v>
      </c>
      <c r="C608" t="str">
        <f t="shared" si="124"/>
        <v>41</v>
      </c>
      <c r="D608" t="s">
        <v>120</v>
      </c>
      <c r="E608" t="s">
        <v>116</v>
      </c>
      <c r="F608" t="s">
        <v>117</v>
      </c>
      <c r="H608" t="s">
        <v>237</v>
      </c>
      <c r="I608" t="str">
        <f>"101050002022279"</f>
        <v>101050002022279</v>
      </c>
      <c r="J608" t="str">
        <f t="shared" si="125"/>
        <v>515120</v>
      </c>
      <c r="K608" t="s">
        <v>2</v>
      </c>
      <c r="L608">
        <v>49</v>
      </c>
      <c r="M608">
        <v>49</v>
      </c>
      <c r="N608">
        <v>0</v>
      </c>
      <c r="O608" s="1">
        <v>45583.47760416667</v>
      </c>
      <c r="P608" t="s">
        <v>119</v>
      </c>
    </row>
    <row r="609" spans="1:16" x14ac:dyDescent="0.3">
      <c r="A609" t="s">
        <v>25</v>
      </c>
      <c r="B609" s="1">
        <v>45583.47729166667</v>
      </c>
      <c r="C609" t="str">
        <f t="shared" si="124"/>
        <v>41</v>
      </c>
      <c r="D609" t="s">
        <v>120</v>
      </c>
      <c r="E609" t="s">
        <v>116</v>
      </c>
      <c r="F609" t="s">
        <v>117</v>
      </c>
      <c r="H609" t="s">
        <v>236</v>
      </c>
      <c r="I609" t="str">
        <f>"101050002025458"</f>
        <v>101050002025458</v>
      </c>
      <c r="J609" t="str">
        <f t="shared" si="125"/>
        <v>515120</v>
      </c>
      <c r="K609" t="s">
        <v>2</v>
      </c>
      <c r="L609">
        <v>49</v>
      </c>
      <c r="M609">
        <v>49</v>
      </c>
      <c r="N609">
        <v>0</v>
      </c>
      <c r="O609" s="1">
        <v>45583.47729166667</v>
      </c>
      <c r="P609" t="s">
        <v>138</v>
      </c>
    </row>
    <row r="610" spans="1:16" x14ac:dyDescent="0.3">
      <c r="A610" t="s">
        <v>25</v>
      </c>
      <c r="B610" s="1">
        <v>45583.47729166667</v>
      </c>
      <c r="C610" t="str">
        <f t="shared" si="124"/>
        <v>41</v>
      </c>
      <c r="D610" t="s">
        <v>120</v>
      </c>
      <c r="E610" t="s">
        <v>116</v>
      </c>
      <c r="F610" t="s">
        <v>117</v>
      </c>
      <c r="H610" t="s">
        <v>236</v>
      </c>
      <c r="I610" t="str">
        <f>"101050002024989"</f>
        <v>101050002024989</v>
      </c>
      <c r="J610" t="str">
        <f t="shared" si="125"/>
        <v>515120</v>
      </c>
      <c r="K610" t="s">
        <v>2</v>
      </c>
      <c r="L610">
        <v>49</v>
      </c>
      <c r="M610">
        <v>49</v>
      </c>
      <c r="N610">
        <v>0</v>
      </c>
      <c r="O610" s="1">
        <v>45583.47729166667</v>
      </c>
      <c r="P610" t="s">
        <v>138</v>
      </c>
    </row>
    <row r="611" spans="1:16" x14ac:dyDescent="0.3">
      <c r="A611" t="s">
        <v>25</v>
      </c>
      <c r="B611" s="1">
        <v>45583.47729166667</v>
      </c>
      <c r="C611" t="str">
        <f t="shared" si="124"/>
        <v>41</v>
      </c>
      <c r="D611" t="s">
        <v>120</v>
      </c>
      <c r="E611" t="s">
        <v>116</v>
      </c>
      <c r="F611" t="s">
        <v>117</v>
      </c>
      <c r="H611" t="s">
        <v>236</v>
      </c>
      <c r="I611" t="str">
        <f>"101050002025070"</f>
        <v>101050002025070</v>
      </c>
      <c r="J611" t="str">
        <f t="shared" si="125"/>
        <v>515120</v>
      </c>
      <c r="K611" t="s">
        <v>2</v>
      </c>
      <c r="L611">
        <v>49</v>
      </c>
      <c r="M611">
        <v>49</v>
      </c>
      <c r="N611">
        <v>0</v>
      </c>
      <c r="O611" s="1">
        <v>45583.47729166667</v>
      </c>
      <c r="P611" t="s">
        <v>138</v>
      </c>
    </row>
    <row r="612" spans="1:16" x14ac:dyDescent="0.3">
      <c r="A612" t="s">
        <v>25</v>
      </c>
      <c r="B612" s="1">
        <v>45583.47729166667</v>
      </c>
      <c r="C612" t="str">
        <f t="shared" si="124"/>
        <v>41</v>
      </c>
      <c r="D612" t="s">
        <v>120</v>
      </c>
      <c r="E612" t="s">
        <v>116</v>
      </c>
      <c r="F612" t="s">
        <v>117</v>
      </c>
      <c r="H612" t="s">
        <v>236</v>
      </c>
      <c r="I612" t="str">
        <f>"101050002025446"</f>
        <v>101050002025446</v>
      </c>
      <c r="J612" t="str">
        <f t="shared" si="125"/>
        <v>515120</v>
      </c>
      <c r="K612" t="s">
        <v>2</v>
      </c>
      <c r="L612">
        <v>49</v>
      </c>
      <c r="M612">
        <v>49</v>
      </c>
      <c r="N612">
        <v>0</v>
      </c>
      <c r="O612" s="1">
        <v>45583.47729166667</v>
      </c>
      <c r="P612" t="s">
        <v>138</v>
      </c>
    </row>
    <row r="613" spans="1:16" x14ac:dyDescent="0.3">
      <c r="A613" t="s">
        <v>25</v>
      </c>
      <c r="B613" s="1">
        <v>45583.477280092593</v>
      </c>
      <c r="C613" t="str">
        <f t="shared" si="124"/>
        <v>41</v>
      </c>
      <c r="D613" t="s">
        <v>120</v>
      </c>
      <c r="E613" t="s">
        <v>116</v>
      </c>
      <c r="F613" t="s">
        <v>117</v>
      </c>
      <c r="H613" t="s">
        <v>236</v>
      </c>
      <c r="I613" t="str">
        <f>"101050002023830"</f>
        <v>101050002023830</v>
      </c>
      <c r="J613" t="str">
        <f t="shared" si="125"/>
        <v>515120</v>
      </c>
      <c r="K613" t="s">
        <v>2</v>
      </c>
      <c r="L613">
        <v>49</v>
      </c>
      <c r="M613">
        <v>49</v>
      </c>
      <c r="N613">
        <v>0</v>
      </c>
      <c r="O613" s="1">
        <v>45583.477280092593</v>
      </c>
      <c r="P613" t="s">
        <v>138</v>
      </c>
    </row>
    <row r="614" spans="1:16" x14ac:dyDescent="0.3">
      <c r="A614" t="s">
        <v>25</v>
      </c>
      <c r="B614" s="1">
        <v>45583.477280092593</v>
      </c>
      <c r="C614" t="str">
        <f t="shared" si="124"/>
        <v>41</v>
      </c>
      <c r="D614" t="s">
        <v>120</v>
      </c>
      <c r="E614" t="s">
        <v>116</v>
      </c>
      <c r="F614" t="s">
        <v>117</v>
      </c>
      <c r="H614" t="s">
        <v>236</v>
      </c>
      <c r="I614" t="str">
        <f>"101050002024518"</f>
        <v>101050002024518</v>
      </c>
      <c r="J614" t="str">
        <f t="shared" si="125"/>
        <v>515120</v>
      </c>
      <c r="K614" t="s">
        <v>2</v>
      </c>
      <c r="L614">
        <v>49</v>
      </c>
      <c r="M614">
        <v>49</v>
      </c>
      <c r="N614">
        <v>0</v>
      </c>
      <c r="O614" s="1">
        <v>45583.477280092593</v>
      </c>
      <c r="P614" t="s">
        <v>138</v>
      </c>
    </row>
    <row r="615" spans="1:16" x14ac:dyDescent="0.3">
      <c r="A615" t="s">
        <v>25</v>
      </c>
      <c r="B615" s="1">
        <v>45583.477280092593</v>
      </c>
      <c r="C615" t="str">
        <f t="shared" si="124"/>
        <v>41</v>
      </c>
      <c r="D615" t="s">
        <v>120</v>
      </c>
      <c r="E615" t="s">
        <v>116</v>
      </c>
      <c r="F615" t="s">
        <v>117</v>
      </c>
      <c r="H615" t="s">
        <v>236</v>
      </c>
      <c r="I615" t="str">
        <f>"101050002024565"</f>
        <v>101050002024565</v>
      </c>
      <c r="J615" t="str">
        <f t="shared" si="125"/>
        <v>515120</v>
      </c>
      <c r="K615" t="s">
        <v>2</v>
      </c>
      <c r="L615">
        <v>49</v>
      </c>
      <c r="M615">
        <v>49</v>
      </c>
      <c r="N615">
        <v>0</v>
      </c>
      <c r="O615" s="1">
        <v>45583.477280092593</v>
      </c>
      <c r="P615" t="s">
        <v>138</v>
      </c>
    </row>
    <row r="616" spans="1:16" x14ac:dyDescent="0.3">
      <c r="A616" t="s">
        <v>25</v>
      </c>
      <c r="B616" s="1">
        <v>45583.476886574077</v>
      </c>
      <c r="C616" t="str">
        <f>"38"</f>
        <v>38</v>
      </c>
      <c r="D616" t="s">
        <v>115</v>
      </c>
      <c r="E616" t="s">
        <v>116</v>
      </c>
      <c r="F616" t="s">
        <v>117</v>
      </c>
      <c r="H616" t="s">
        <v>238</v>
      </c>
      <c r="L616">
        <v>0</v>
      </c>
      <c r="M616">
        <v>0</v>
      </c>
      <c r="N616">
        <v>0</v>
      </c>
      <c r="O616" s="1">
        <v>45583.476886574077</v>
      </c>
      <c r="P616" t="s">
        <v>122</v>
      </c>
    </row>
    <row r="617" spans="1:16" x14ac:dyDescent="0.3">
      <c r="A617" t="s">
        <v>25</v>
      </c>
      <c r="B617" s="1">
        <v>45583.476886574077</v>
      </c>
      <c r="C617" t="str">
        <f>"41"</f>
        <v>41</v>
      </c>
      <c r="D617" t="s">
        <v>120</v>
      </c>
      <c r="E617" t="s">
        <v>116</v>
      </c>
      <c r="F617" t="s">
        <v>117</v>
      </c>
      <c r="H617" t="s">
        <v>238</v>
      </c>
      <c r="I617" t="str">
        <f>"101050001954997"</f>
        <v>101050001954997</v>
      </c>
      <c r="J617" t="str">
        <f>"125192"</f>
        <v>125192</v>
      </c>
      <c r="K617" t="s">
        <v>42</v>
      </c>
      <c r="L617">
        <v>49</v>
      </c>
      <c r="M617">
        <v>49</v>
      </c>
      <c r="N617">
        <v>0</v>
      </c>
      <c r="O617" s="1">
        <v>45583.476886574077</v>
      </c>
      <c r="P617" t="s">
        <v>122</v>
      </c>
    </row>
    <row r="618" spans="1:16" x14ac:dyDescent="0.3">
      <c r="A618" t="s">
        <v>25</v>
      </c>
      <c r="B618" s="1">
        <v>45583.476168981484</v>
      </c>
      <c r="C618" t="str">
        <f>"38"</f>
        <v>38</v>
      </c>
      <c r="D618" t="s">
        <v>115</v>
      </c>
      <c r="E618" t="s">
        <v>116</v>
      </c>
      <c r="F618" t="s">
        <v>117</v>
      </c>
      <c r="H618" t="s">
        <v>239</v>
      </c>
      <c r="L618">
        <v>0</v>
      </c>
      <c r="M618">
        <v>0</v>
      </c>
      <c r="N618">
        <v>0</v>
      </c>
      <c r="O618" s="1">
        <v>45583.476168981484</v>
      </c>
      <c r="P618" t="s">
        <v>122</v>
      </c>
    </row>
    <row r="619" spans="1:16" x14ac:dyDescent="0.3">
      <c r="A619" t="s">
        <v>25</v>
      </c>
      <c r="B619" s="1">
        <v>45583.476168981484</v>
      </c>
      <c r="C619" t="str">
        <f>"43"</f>
        <v>43</v>
      </c>
      <c r="D619" t="s">
        <v>231</v>
      </c>
      <c r="E619" t="s">
        <v>116</v>
      </c>
      <c r="F619" t="s">
        <v>117</v>
      </c>
      <c r="H619" t="s">
        <v>239</v>
      </c>
      <c r="I619" t="str">
        <f>"101620000410480"</f>
        <v>101620000410480</v>
      </c>
      <c r="J619" t="str">
        <f t="shared" ref="J619:J625" si="126">"127802"</f>
        <v>127802</v>
      </c>
      <c r="K619" t="s">
        <v>6</v>
      </c>
      <c r="L619">
        <v>91</v>
      </c>
      <c r="M619">
        <v>91</v>
      </c>
      <c r="N619">
        <v>0</v>
      </c>
      <c r="O619" s="1">
        <v>45583.476168981484</v>
      </c>
      <c r="P619" t="s">
        <v>122</v>
      </c>
    </row>
    <row r="620" spans="1:16" x14ac:dyDescent="0.3">
      <c r="A620" t="s">
        <v>25</v>
      </c>
      <c r="B620" s="1">
        <v>45583.476168981484</v>
      </c>
      <c r="C620" t="str">
        <f>"43"</f>
        <v>43</v>
      </c>
      <c r="D620" t="s">
        <v>231</v>
      </c>
      <c r="E620" t="s">
        <v>116</v>
      </c>
      <c r="F620" t="s">
        <v>117</v>
      </c>
      <c r="H620" t="s">
        <v>239</v>
      </c>
      <c r="I620" t="str">
        <f>"101620000409950"</f>
        <v>101620000409950</v>
      </c>
      <c r="J620" t="str">
        <f t="shared" si="126"/>
        <v>127802</v>
      </c>
      <c r="K620" t="s">
        <v>6</v>
      </c>
      <c r="L620">
        <v>91</v>
      </c>
      <c r="M620">
        <v>91</v>
      </c>
      <c r="N620">
        <v>0</v>
      </c>
      <c r="O620" s="1">
        <v>45583.476168981484</v>
      </c>
      <c r="P620" t="s">
        <v>122</v>
      </c>
    </row>
    <row r="621" spans="1:16" x14ac:dyDescent="0.3">
      <c r="A621" t="s">
        <v>25</v>
      </c>
      <c r="B621" s="1">
        <v>45583.476168981484</v>
      </c>
      <c r="C621" t="str">
        <f>"41"</f>
        <v>41</v>
      </c>
      <c r="D621" t="s">
        <v>120</v>
      </c>
      <c r="E621" t="s">
        <v>116</v>
      </c>
      <c r="F621" t="s">
        <v>117</v>
      </c>
      <c r="H621" t="s">
        <v>239</v>
      </c>
      <c r="I621" t="str">
        <f>"101050002027101"</f>
        <v>101050002027101</v>
      </c>
      <c r="J621" t="str">
        <f t="shared" si="126"/>
        <v>127802</v>
      </c>
      <c r="K621" t="s">
        <v>6</v>
      </c>
      <c r="L621">
        <v>91</v>
      </c>
      <c r="M621">
        <v>91</v>
      </c>
      <c r="N621">
        <v>0</v>
      </c>
      <c r="O621" s="1">
        <v>45583.476168981484</v>
      </c>
      <c r="P621" t="s">
        <v>122</v>
      </c>
    </row>
    <row r="622" spans="1:16" x14ac:dyDescent="0.3">
      <c r="A622" t="s">
        <v>25</v>
      </c>
      <c r="B622" s="1">
        <v>45583.476168981484</v>
      </c>
      <c r="C622" t="str">
        <f>"41"</f>
        <v>41</v>
      </c>
      <c r="D622" t="s">
        <v>120</v>
      </c>
      <c r="E622" t="s">
        <v>116</v>
      </c>
      <c r="F622" t="s">
        <v>117</v>
      </c>
      <c r="H622" t="s">
        <v>239</v>
      </c>
      <c r="I622" t="str">
        <f>"101050002026835"</f>
        <v>101050002026835</v>
      </c>
      <c r="J622" t="str">
        <f t="shared" si="126"/>
        <v>127802</v>
      </c>
      <c r="K622" t="s">
        <v>6</v>
      </c>
      <c r="L622">
        <v>91</v>
      </c>
      <c r="M622">
        <v>91</v>
      </c>
      <c r="N622">
        <v>0</v>
      </c>
      <c r="O622" s="1">
        <v>45583.476168981484</v>
      </c>
      <c r="P622" t="s">
        <v>122</v>
      </c>
    </row>
    <row r="623" spans="1:16" x14ac:dyDescent="0.3">
      <c r="A623" t="s">
        <v>25</v>
      </c>
      <c r="B623" s="1">
        <v>45583.476157407407</v>
      </c>
      <c r="C623" t="str">
        <f>"41"</f>
        <v>41</v>
      </c>
      <c r="D623" t="s">
        <v>120</v>
      </c>
      <c r="E623" t="s">
        <v>116</v>
      </c>
      <c r="F623" t="s">
        <v>117</v>
      </c>
      <c r="H623" t="s">
        <v>239</v>
      </c>
      <c r="I623" t="str">
        <f>"101050002026751"</f>
        <v>101050002026751</v>
      </c>
      <c r="J623" t="str">
        <f t="shared" si="126"/>
        <v>127802</v>
      </c>
      <c r="K623" t="s">
        <v>6</v>
      </c>
      <c r="L623">
        <v>91</v>
      </c>
      <c r="M623">
        <v>91</v>
      </c>
      <c r="N623">
        <v>0</v>
      </c>
      <c r="O623" s="1">
        <v>45583.476157407407</v>
      </c>
      <c r="P623" t="s">
        <v>122</v>
      </c>
    </row>
    <row r="624" spans="1:16" x14ac:dyDescent="0.3">
      <c r="A624" t="s">
        <v>25</v>
      </c>
      <c r="B624" s="1">
        <v>45583.476157407407</v>
      </c>
      <c r="C624" t="str">
        <f>"41"</f>
        <v>41</v>
      </c>
      <c r="D624" t="s">
        <v>120</v>
      </c>
      <c r="E624" t="s">
        <v>116</v>
      </c>
      <c r="F624" t="s">
        <v>117</v>
      </c>
      <c r="H624" t="s">
        <v>239</v>
      </c>
      <c r="I624" t="str">
        <f>"101050002026554"</f>
        <v>101050002026554</v>
      </c>
      <c r="J624" t="str">
        <f t="shared" si="126"/>
        <v>127802</v>
      </c>
      <c r="K624" t="s">
        <v>6</v>
      </c>
      <c r="L624">
        <v>91</v>
      </c>
      <c r="M624">
        <v>91</v>
      </c>
      <c r="N624">
        <v>0</v>
      </c>
      <c r="O624" s="1">
        <v>45583.476157407407</v>
      </c>
      <c r="P624" t="s">
        <v>122</v>
      </c>
    </row>
    <row r="625" spans="1:16" x14ac:dyDescent="0.3">
      <c r="A625" t="s">
        <v>25</v>
      </c>
      <c r="B625" s="1">
        <v>45583.476157407407</v>
      </c>
      <c r="C625" t="str">
        <f>"41"</f>
        <v>41</v>
      </c>
      <c r="D625" t="s">
        <v>120</v>
      </c>
      <c r="E625" t="s">
        <v>116</v>
      </c>
      <c r="F625" t="s">
        <v>117</v>
      </c>
      <c r="H625" t="s">
        <v>239</v>
      </c>
      <c r="I625" t="str">
        <f>"101050002026563"</f>
        <v>101050002026563</v>
      </c>
      <c r="J625" t="str">
        <f t="shared" si="126"/>
        <v>127802</v>
      </c>
      <c r="K625" t="s">
        <v>6</v>
      </c>
      <c r="L625">
        <v>91</v>
      </c>
      <c r="M625">
        <v>91</v>
      </c>
      <c r="N625">
        <v>0</v>
      </c>
      <c r="O625" s="1">
        <v>45583.476157407407</v>
      </c>
      <c r="P625" t="s">
        <v>122</v>
      </c>
    </row>
    <row r="626" spans="1:16" x14ac:dyDescent="0.3">
      <c r="A626" t="s">
        <v>25</v>
      </c>
      <c r="B626" s="1">
        <v>45583.475613425922</v>
      </c>
      <c r="C626" t="str">
        <f>"38"</f>
        <v>38</v>
      </c>
      <c r="D626" t="s">
        <v>115</v>
      </c>
      <c r="E626" t="s">
        <v>116</v>
      </c>
      <c r="F626" t="s">
        <v>117</v>
      </c>
      <c r="H626" t="s">
        <v>240</v>
      </c>
      <c r="L626">
        <v>0</v>
      </c>
      <c r="M626">
        <v>0</v>
      </c>
      <c r="N626">
        <v>0</v>
      </c>
      <c r="O626" s="1">
        <v>45583.475613425922</v>
      </c>
      <c r="P626" t="s">
        <v>119</v>
      </c>
    </row>
    <row r="627" spans="1:16" x14ac:dyDescent="0.3">
      <c r="A627" t="s">
        <v>25</v>
      </c>
      <c r="B627" s="1">
        <v>45583.475613425922</v>
      </c>
      <c r="C627" t="str">
        <f t="shared" ref="C627:C633" si="127">"41"</f>
        <v>41</v>
      </c>
      <c r="D627" t="s">
        <v>120</v>
      </c>
      <c r="E627" t="s">
        <v>116</v>
      </c>
      <c r="F627" t="s">
        <v>117</v>
      </c>
      <c r="H627" t="s">
        <v>240</v>
      </c>
      <c r="I627" t="str">
        <f>"101050002025213"</f>
        <v>101050002025213</v>
      </c>
      <c r="J627" t="str">
        <f t="shared" ref="J627:J633" si="128">"127802"</f>
        <v>127802</v>
      </c>
      <c r="K627" t="s">
        <v>6</v>
      </c>
      <c r="L627">
        <v>91</v>
      </c>
      <c r="M627">
        <v>91</v>
      </c>
      <c r="N627">
        <v>0</v>
      </c>
      <c r="O627" s="1">
        <v>45583.475613425922</v>
      </c>
      <c r="P627" t="s">
        <v>119</v>
      </c>
    </row>
    <row r="628" spans="1:16" x14ac:dyDescent="0.3">
      <c r="A628" t="s">
        <v>25</v>
      </c>
      <c r="B628" s="1">
        <v>45583.475613425922</v>
      </c>
      <c r="C628" t="str">
        <f t="shared" si="127"/>
        <v>41</v>
      </c>
      <c r="D628" t="s">
        <v>120</v>
      </c>
      <c r="E628" t="s">
        <v>116</v>
      </c>
      <c r="F628" t="s">
        <v>117</v>
      </c>
      <c r="H628" t="s">
        <v>240</v>
      </c>
      <c r="I628" t="str">
        <f>"101050002025030"</f>
        <v>101050002025030</v>
      </c>
      <c r="J628" t="str">
        <f t="shared" si="128"/>
        <v>127802</v>
      </c>
      <c r="K628" t="s">
        <v>6</v>
      </c>
      <c r="L628">
        <v>91</v>
      </c>
      <c r="M628">
        <v>91</v>
      </c>
      <c r="N628">
        <v>0</v>
      </c>
      <c r="O628" s="1">
        <v>45583.475613425922</v>
      </c>
      <c r="P628" t="s">
        <v>119</v>
      </c>
    </row>
    <row r="629" spans="1:16" x14ac:dyDescent="0.3">
      <c r="A629" t="s">
        <v>25</v>
      </c>
      <c r="B629" s="1">
        <v>45583.475613425922</v>
      </c>
      <c r="C629" t="str">
        <f t="shared" si="127"/>
        <v>41</v>
      </c>
      <c r="D629" t="s">
        <v>120</v>
      </c>
      <c r="E629" t="s">
        <v>116</v>
      </c>
      <c r="F629" t="s">
        <v>117</v>
      </c>
      <c r="H629" t="s">
        <v>240</v>
      </c>
      <c r="I629" t="str">
        <f>"101050002025212"</f>
        <v>101050002025212</v>
      </c>
      <c r="J629" t="str">
        <f t="shared" si="128"/>
        <v>127802</v>
      </c>
      <c r="K629" t="s">
        <v>6</v>
      </c>
      <c r="L629">
        <v>91</v>
      </c>
      <c r="M629">
        <v>91</v>
      </c>
      <c r="N629">
        <v>0</v>
      </c>
      <c r="O629" s="1">
        <v>45583.475613425922</v>
      </c>
      <c r="P629" t="s">
        <v>119</v>
      </c>
    </row>
    <row r="630" spans="1:16" x14ac:dyDescent="0.3">
      <c r="A630" t="s">
        <v>25</v>
      </c>
      <c r="B630" s="1">
        <v>45583.475613425922</v>
      </c>
      <c r="C630" t="str">
        <f t="shared" si="127"/>
        <v>41</v>
      </c>
      <c r="D630" t="s">
        <v>120</v>
      </c>
      <c r="E630" t="s">
        <v>116</v>
      </c>
      <c r="F630" t="s">
        <v>117</v>
      </c>
      <c r="H630" t="s">
        <v>240</v>
      </c>
      <c r="I630" t="str">
        <f>"101050002025420"</f>
        <v>101050002025420</v>
      </c>
      <c r="J630" t="str">
        <f t="shared" si="128"/>
        <v>127802</v>
      </c>
      <c r="K630" t="s">
        <v>6</v>
      </c>
      <c r="L630">
        <v>91</v>
      </c>
      <c r="M630">
        <v>91</v>
      </c>
      <c r="N630">
        <v>0</v>
      </c>
      <c r="O630" s="1">
        <v>45583.475613425922</v>
      </c>
      <c r="P630" t="s">
        <v>119</v>
      </c>
    </row>
    <row r="631" spans="1:16" x14ac:dyDescent="0.3">
      <c r="A631" t="s">
        <v>25</v>
      </c>
      <c r="B631" s="1">
        <v>45583.475613425922</v>
      </c>
      <c r="C631" t="str">
        <f t="shared" si="127"/>
        <v>41</v>
      </c>
      <c r="D631" t="s">
        <v>120</v>
      </c>
      <c r="E631" t="s">
        <v>116</v>
      </c>
      <c r="F631" t="s">
        <v>117</v>
      </c>
      <c r="H631" t="s">
        <v>240</v>
      </c>
      <c r="I631" t="str">
        <f>"101050002017393"</f>
        <v>101050002017393</v>
      </c>
      <c r="J631" t="str">
        <f t="shared" si="128"/>
        <v>127802</v>
      </c>
      <c r="K631" t="s">
        <v>6</v>
      </c>
      <c r="L631">
        <v>91</v>
      </c>
      <c r="M631">
        <v>91</v>
      </c>
      <c r="N631">
        <v>0</v>
      </c>
      <c r="O631" s="1">
        <v>45583.475613425922</v>
      </c>
      <c r="P631" t="s">
        <v>119</v>
      </c>
    </row>
    <row r="632" spans="1:16" x14ac:dyDescent="0.3">
      <c r="A632" t="s">
        <v>25</v>
      </c>
      <c r="B632" s="1">
        <v>45583.475613425922</v>
      </c>
      <c r="C632" t="str">
        <f t="shared" si="127"/>
        <v>41</v>
      </c>
      <c r="D632" t="s">
        <v>120</v>
      </c>
      <c r="E632" t="s">
        <v>116</v>
      </c>
      <c r="F632" t="s">
        <v>117</v>
      </c>
      <c r="H632" t="s">
        <v>240</v>
      </c>
      <c r="I632" t="str">
        <f>"101050002017215"</f>
        <v>101050002017215</v>
      </c>
      <c r="J632" t="str">
        <f t="shared" si="128"/>
        <v>127802</v>
      </c>
      <c r="K632" t="s">
        <v>6</v>
      </c>
      <c r="L632">
        <v>91</v>
      </c>
      <c r="M632">
        <v>91</v>
      </c>
      <c r="N632">
        <v>0</v>
      </c>
      <c r="O632" s="1">
        <v>45583.475613425922</v>
      </c>
      <c r="P632" t="s">
        <v>119</v>
      </c>
    </row>
    <row r="633" spans="1:16" x14ac:dyDescent="0.3">
      <c r="A633" t="s">
        <v>25</v>
      </c>
      <c r="B633" s="1">
        <v>45583.475601851853</v>
      </c>
      <c r="C633" t="str">
        <f t="shared" si="127"/>
        <v>41</v>
      </c>
      <c r="D633" t="s">
        <v>120</v>
      </c>
      <c r="E633" t="s">
        <v>116</v>
      </c>
      <c r="F633" t="s">
        <v>117</v>
      </c>
      <c r="H633" t="s">
        <v>240</v>
      </c>
      <c r="I633" t="str">
        <f>"101050002017149"</f>
        <v>101050002017149</v>
      </c>
      <c r="J633" t="str">
        <f t="shared" si="128"/>
        <v>127802</v>
      </c>
      <c r="K633" t="s">
        <v>6</v>
      </c>
      <c r="L633">
        <v>91</v>
      </c>
      <c r="M633">
        <v>91</v>
      </c>
      <c r="N633">
        <v>0</v>
      </c>
      <c r="O633" s="1">
        <v>45583.475601851853</v>
      </c>
      <c r="P633" t="s">
        <v>119</v>
      </c>
    </row>
    <row r="634" spans="1:16" x14ac:dyDescent="0.3">
      <c r="A634" t="s">
        <v>25</v>
      </c>
      <c r="B634" s="1">
        <v>45583.475995370369</v>
      </c>
      <c r="C634" t="str">
        <f>"38"</f>
        <v>38</v>
      </c>
      <c r="D634" t="s">
        <v>115</v>
      </c>
      <c r="E634" t="s">
        <v>116</v>
      </c>
      <c r="F634" t="s">
        <v>117</v>
      </c>
      <c r="H634" t="s">
        <v>241</v>
      </c>
      <c r="L634">
        <v>0</v>
      </c>
      <c r="M634">
        <v>0</v>
      </c>
      <c r="N634">
        <v>0</v>
      </c>
      <c r="O634" s="1">
        <v>45583.475995370369</v>
      </c>
      <c r="P634" t="s">
        <v>125</v>
      </c>
    </row>
    <row r="635" spans="1:16" x14ac:dyDescent="0.3">
      <c r="A635" t="s">
        <v>25</v>
      </c>
      <c r="B635" s="1">
        <v>45583.475995370369</v>
      </c>
      <c r="C635" t="str">
        <f t="shared" ref="C635:C641" si="129">"41"</f>
        <v>41</v>
      </c>
      <c r="D635" t="s">
        <v>120</v>
      </c>
      <c r="E635" t="s">
        <v>116</v>
      </c>
      <c r="F635" t="s">
        <v>117</v>
      </c>
      <c r="H635" t="s">
        <v>241</v>
      </c>
      <c r="I635" t="str">
        <f>"101050001977020"</f>
        <v>101050001977020</v>
      </c>
      <c r="J635" t="str">
        <f t="shared" ref="J635:J641" si="130">"514862"</f>
        <v>514862</v>
      </c>
      <c r="K635" t="s">
        <v>91</v>
      </c>
      <c r="L635">
        <v>49</v>
      </c>
      <c r="M635">
        <v>49</v>
      </c>
      <c r="N635">
        <v>0</v>
      </c>
      <c r="O635" s="1">
        <v>45583.475995370369</v>
      </c>
      <c r="P635" t="s">
        <v>125</v>
      </c>
    </row>
    <row r="636" spans="1:16" x14ac:dyDescent="0.3">
      <c r="A636" t="s">
        <v>25</v>
      </c>
      <c r="B636" s="1">
        <v>45583.475995370369</v>
      </c>
      <c r="C636" t="str">
        <f t="shared" si="129"/>
        <v>41</v>
      </c>
      <c r="D636" t="s">
        <v>120</v>
      </c>
      <c r="E636" t="s">
        <v>116</v>
      </c>
      <c r="F636" t="s">
        <v>117</v>
      </c>
      <c r="H636" t="s">
        <v>241</v>
      </c>
      <c r="I636" t="str">
        <f>"101050001977019"</f>
        <v>101050001977019</v>
      </c>
      <c r="J636" t="str">
        <f t="shared" si="130"/>
        <v>514862</v>
      </c>
      <c r="K636" t="s">
        <v>91</v>
      </c>
      <c r="L636">
        <v>49</v>
      </c>
      <c r="M636">
        <v>49</v>
      </c>
      <c r="N636">
        <v>0</v>
      </c>
      <c r="O636" s="1">
        <v>45583.475995370369</v>
      </c>
      <c r="P636" t="s">
        <v>125</v>
      </c>
    </row>
    <row r="637" spans="1:16" x14ac:dyDescent="0.3">
      <c r="A637" t="s">
        <v>25</v>
      </c>
      <c r="B637" s="1">
        <v>45583.475995370369</v>
      </c>
      <c r="C637" t="str">
        <f t="shared" si="129"/>
        <v>41</v>
      </c>
      <c r="D637" t="s">
        <v>120</v>
      </c>
      <c r="E637" t="s">
        <v>116</v>
      </c>
      <c r="F637" t="s">
        <v>117</v>
      </c>
      <c r="H637" t="s">
        <v>241</v>
      </c>
      <c r="I637" t="str">
        <f>"101050001977016"</f>
        <v>101050001977016</v>
      </c>
      <c r="J637" t="str">
        <f t="shared" si="130"/>
        <v>514862</v>
      </c>
      <c r="K637" t="s">
        <v>91</v>
      </c>
      <c r="L637">
        <v>49</v>
      </c>
      <c r="M637">
        <v>49</v>
      </c>
      <c r="N637">
        <v>0</v>
      </c>
      <c r="O637" s="1">
        <v>45583.475995370369</v>
      </c>
      <c r="P637" t="s">
        <v>125</v>
      </c>
    </row>
    <row r="638" spans="1:16" x14ac:dyDescent="0.3">
      <c r="A638" t="s">
        <v>25</v>
      </c>
      <c r="B638" s="1">
        <v>45583.475995370369</v>
      </c>
      <c r="C638" t="str">
        <f t="shared" si="129"/>
        <v>41</v>
      </c>
      <c r="D638" t="s">
        <v>120</v>
      </c>
      <c r="E638" t="s">
        <v>116</v>
      </c>
      <c r="F638" t="s">
        <v>117</v>
      </c>
      <c r="H638" t="s">
        <v>241</v>
      </c>
      <c r="I638" t="str">
        <f>"101050001977015"</f>
        <v>101050001977015</v>
      </c>
      <c r="J638" t="str">
        <f t="shared" si="130"/>
        <v>514862</v>
      </c>
      <c r="K638" t="s">
        <v>91</v>
      </c>
      <c r="L638">
        <v>49</v>
      </c>
      <c r="M638">
        <v>49</v>
      </c>
      <c r="N638">
        <v>0</v>
      </c>
      <c r="O638" s="1">
        <v>45583.475995370369</v>
      </c>
      <c r="P638" t="s">
        <v>125</v>
      </c>
    </row>
    <row r="639" spans="1:16" x14ac:dyDescent="0.3">
      <c r="A639" t="s">
        <v>25</v>
      </c>
      <c r="B639" s="1">
        <v>45583.475995370369</v>
      </c>
      <c r="C639" t="str">
        <f t="shared" si="129"/>
        <v>41</v>
      </c>
      <c r="D639" t="s">
        <v>120</v>
      </c>
      <c r="E639" t="s">
        <v>116</v>
      </c>
      <c r="F639" t="s">
        <v>117</v>
      </c>
      <c r="H639" t="s">
        <v>241</v>
      </c>
      <c r="I639" t="str">
        <f>"101050001976816"</f>
        <v>101050001976816</v>
      </c>
      <c r="J639" t="str">
        <f t="shared" si="130"/>
        <v>514862</v>
      </c>
      <c r="K639" t="s">
        <v>91</v>
      </c>
      <c r="L639">
        <v>49</v>
      </c>
      <c r="M639">
        <v>49</v>
      </c>
      <c r="N639">
        <v>0</v>
      </c>
      <c r="O639" s="1">
        <v>45583.475995370369</v>
      </c>
      <c r="P639" t="s">
        <v>125</v>
      </c>
    </row>
    <row r="640" spans="1:16" x14ac:dyDescent="0.3">
      <c r="A640" t="s">
        <v>25</v>
      </c>
      <c r="B640" s="1">
        <v>45583.475983796299</v>
      </c>
      <c r="C640" t="str">
        <f t="shared" si="129"/>
        <v>41</v>
      </c>
      <c r="D640" t="s">
        <v>120</v>
      </c>
      <c r="E640" t="s">
        <v>116</v>
      </c>
      <c r="F640" t="s">
        <v>117</v>
      </c>
      <c r="H640" t="s">
        <v>241</v>
      </c>
      <c r="I640" t="str">
        <f>"101050001976815"</f>
        <v>101050001976815</v>
      </c>
      <c r="J640" t="str">
        <f t="shared" si="130"/>
        <v>514862</v>
      </c>
      <c r="K640" t="s">
        <v>91</v>
      </c>
      <c r="L640">
        <v>49</v>
      </c>
      <c r="M640">
        <v>49</v>
      </c>
      <c r="N640">
        <v>0</v>
      </c>
      <c r="O640" s="1">
        <v>45583.475983796299</v>
      </c>
      <c r="P640" t="s">
        <v>125</v>
      </c>
    </row>
    <row r="641" spans="1:16" x14ac:dyDescent="0.3">
      <c r="A641" t="s">
        <v>25</v>
      </c>
      <c r="B641" s="1">
        <v>45583.475983796299</v>
      </c>
      <c r="C641" t="str">
        <f t="shared" si="129"/>
        <v>41</v>
      </c>
      <c r="D641" t="s">
        <v>120</v>
      </c>
      <c r="E641" t="s">
        <v>116</v>
      </c>
      <c r="F641" t="s">
        <v>117</v>
      </c>
      <c r="H641" t="s">
        <v>241</v>
      </c>
      <c r="I641" t="str">
        <f>"101050001976814"</f>
        <v>101050001976814</v>
      </c>
      <c r="J641" t="str">
        <f t="shared" si="130"/>
        <v>514862</v>
      </c>
      <c r="K641" t="s">
        <v>91</v>
      </c>
      <c r="L641">
        <v>49</v>
      </c>
      <c r="M641">
        <v>49</v>
      </c>
      <c r="N641">
        <v>0</v>
      </c>
      <c r="O641" s="1">
        <v>45583.475983796299</v>
      </c>
      <c r="P641" t="s">
        <v>125</v>
      </c>
    </row>
    <row r="642" spans="1:16" x14ac:dyDescent="0.3">
      <c r="A642" t="s">
        <v>25</v>
      </c>
      <c r="B642" s="1">
        <v>45583.47446759259</v>
      </c>
      <c r="C642" t="str">
        <f>"38"</f>
        <v>38</v>
      </c>
      <c r="D642" t="s">
        <v>115</v>
      </c>
      <c r="E642" t="s">
        <v>116</v>
      </c>
      <c r="F642" t="s">
        <v>117</v>
      </c>
      <c r="H642" t="s">
        <v>242</v>
      </c>
      <c r="L642">
        <v>0</v>
      </c>
      <c r="M642">
        <v>0</v>
      </c>
      <c r="N642">
        <v>0</v>
      </c>
      <c r="O642" s="1">
        <v>45583.47446759259</v>
      </c>
      <c r="P642" t="s">
        <v>138</v>
      </c>
    </row>
    <row r="643" spans="1:16" x14ac:dyDescent="0.3">
      <c r="A643" t="s">
        <v>25</v>
      </c>
      <c r="B643" s="1">
        <v>45583.47446759259</v>
      </c>
      <c r="C643" t="str">
        <f>"41"</f>
        <v>41</v>
      </c>
      <c r="D643" t="s">
        <v>120</v>
      </c>
      <c r="E643" t="s">
        <v>116</v>
      </c>
      <c r="F643" t="s">
        <v>117</v>
      </c>
      <c r="H643" t="s">
        <v>242</v>
      </c>
      <c r="I643" t="str">
        <f>"101050002008065"</f>
        <v>101050002008065</v>
      </c>
      <c r="J643" t="str">
        <f>"514846"</f>
        <v>514846</v>
      </c>
      <c r="K643" t="s">
        <v>18</v>
      </c>
      <c r="L643">
        <v>49</v>
      </c>
      <c r="M643">
        <v>49</v>
      </c>
      <c r="N643">
        <v>0</v>
      </c>
      <c r="O643" s="1">
        <v>45583.47446759259</v>
      </c>
      <c r="P643" t="s">
        <v>138</v>
      </c>
    </row>
    <row r="644" spans="1:16" x14ac:dyDescent="0.3">
      <c r="A644" t="s">
        <v>25</v>
      </c>
      <c r="B644" s="1">
        <v>45583.47446759259</v>
      </c>
      <c r="C644" t="str">
        <f>"41"</f>
        <v>41</v>
      </c>
      <c r="D644" t="s">
        <v>120</v>
      </c>
      <c r="E644" t="s">
        <v>116</v>
      </c>
      <c r="F644" t="s">
        <v>117</v>
      </c>
      <c r="H644" t="s">
        <v>242</v>
      </c>
      <c r="I644" t="str">
        <f>"101050002008407"</f>
        <v>101050002008407</v>
      </c>
      <c r="J644" t="str">
        <f>"514846"</f>
        <v>514846</v>
      </c>
      <c r="K644" t="s">
        <v>18</v>
      </c>
      <c r="L644">
        <v>49</v>
      </c>
      <c r="M644">
        <v>49</v>
      </c>
      <c r="N644">
        <v>0</v>
      </c>
      <c r="O644" s="1">
        <v>45583.47446759259</v>
      </c>
      <c r="P644" t="s">
        <v>138</v>
      </c>
    </row>
    <row r="645" spans="1:16" x14ac:dyDescent="0.3">
      <c r="A645" t="s">
        <v>25</v>
      </c>
      <c r="B645" s="1">
        <v>45583.474120370367</v>
      </c>
      <c r="C645" t="str">
        <f>"38"</f>
        <v>38</v>
      </c>
      <c r="D645" t="s">
        <v>115</v>
      </c>
      <c r="E645" t="s">
        <v>116</v>
      </c>
      <c r="F645" t="s">
        <v>117</v>
      </c>
      <c r="H645" t="s">
        <v>243</v>
      </c>
      <c r="L645">
        <v>0</v>
      </c>
      <c r="M645">
        <v>0</v>
      </c>
      <c r="N645">
        <v>0</v>
      </c>
      <c r="O645" s="1">
        <v>45583.474120370367</v>
      </c>
      <c r="P645" t="s">
        <v>138</v>
      </c>
    </row>
    <row r="646" spans="1:16" x14ac:dyDescent="0.3">
      <c r="A646" t="s">
        <v>25</v>
      </c>
      <c r="B646" s="1">
        <v>45583.474120370367</v>
      </c>
      <c r="C646" t="str">
        <f t="shared" ref="C646:C652" si="131">"41"</f>
        <v>41</v>
      </c>
      <c r="D646" t="s">
        <v>120</v>
      </c>
      <c r="E646" t="s">
        <v>116</v>
      </c>
      <c r="F646" t="s">
        <v>117</v>
      </c>
      <c r="H646" t="s">
        <v>243</v>
      </c>
      <c r="I646" t="str">
        <f>"101050002026100"</f>
        <v>101050002026100</v>
      </c>
      <c r="J646" t="str">
        <f t="shared" ref="J646:J652" si="132">"515120"</f>
        <v>515120</v>
      </c>
      <c r="K646" t="s">
        <v>2</v>
      </c>
      <c r="L646">
        <v>49</v>
      </c>
      <c r="M646">
        <v>49</v>
      </c>
      <c r="N646">
        <v>0</v>
      </c>
      <c r="O646" s="1">
        <v>45583.474120370367</v>
      </c>
      <c r="P646" t="s">
        <v>138</v>
      </c>
    </row>
    <row r="647" spans="1:16" x14ac:dyDescent="0.3">
      <c r="A647" t="s">
        <v>25</v>
      </c>
      <c r="B647" s="1">
        <v>45583.474120370367</v>
      </c>
      <c r="C647" t="str">
        <f t="shared" si="131"/>
        <v>41</v>
      </c>
      <c r="D647" t="s">
        <v>120</v>
      </c>
      <c r="E647" t="s">
        <v>116</v>
      </c>
      <c r="F647" t="s">
        <v>117</v>
      </c>
      <c r="H647" t="s">
        <v>243</v>
      </c>
      <c r="I647" t="str">
        <f>"101050002025570"</f>
        <v>101050002025570</v>
      </c>
      <c r="J647" t="str">
        <f t="shared" si="132"/>
        <v>515120</v>
      </c>
      <c r="K647" t="s">
        <v>2</v>
      </c>
      <c r="L647">
        <v>49</v>
      </c>
      <c r="M647">
        <v>49</v>
      </c>
      <c r="N647">
        <v>0</v>
      </c>
      <c r="O647" s="1">
        <v>45583.474120370367</v>
      </c>
      <c r="P647" t="s">
        <v>138</v>
      </c>
    </row>
    <row r="648" spans="1:16" x14ac:dyDescent="0.3">
      <c r="A648" t="s">
        <v>25</v>
      </c>
      <c r="B648" s="1">
        <v>45583.474120370367</v>
      </c>
      <c r="C648" t="str">
        <f t="shared" si="131"/>
        <v>41</v>
      </c>
      <c r="D648" t="s">
        <v>120</v>
      </c>
      <c r="E648" t="s">
        <v>116</v>
      </c>
      <c r="F648" t="s">
        <v>117</v>
      </c>
      <c r="H648" t="s">
        <v>243</v>
      </c>
      <c r="I648" t="str">
        <f>"101050002025499"</f>
        <v>101050002025499</v>
      </c>
      <c r="J648" t="str">
        <f t="shared" si="132"/>
        <v>515120</v>
      </c>
      <c r="K648" t="s">
        <v>2</v>
      </c>
      <c r="L648">
        <v>49</v>
      </c>
      <c r="M648">
        <v>49</v>
      </c>
      <c r="N648">
        <v>0</v>
      </c>
      <c r="O648" s="1">
        <v>45583.474120370367</v>
      </c>
      <c r="P648" t="s">
        <v>138</v>
      </c>
    </row>
    <row r="649" spans="1:16" x14ac:dyDescent="0.3">
      <c r="A649" t="s">
        <v>25</v>
      </c>
      <c r="B649" s="1">
        <v>45583.474120370367</v>
      </c>
      <c r="C649" t="str">
        <f t="shared" si="131"/>
        <v>41</v>
      </c>
      <c r="D649" t="s">
        <v>120</v>
      </c>
      <c r="E649" t="s">
        <v>116</v>
      </c>
      <c r="F649" t="s">
        <v>117</v>
      </c>
      <c r="H649" t="s">
        <v>243</v>
      </c>
      <c r="I649" t="str">
        <f>"101050002025460"</f>
        <v>101050002025460</v>
      </c>
      <c r="J649" t="str">
        <f t="shared" si="132"/>
        <v>515120</v>
      </c>
      <c r="K649" t="s">
        <v>2</v>
      </c>
      <c r="L649">
        <v>49</v>
      </c>
      <c r="M649">
        <v>49</v>
      </c>
      <c r="N649">
        <v>0</v>
      </c>
      <c r="O649" s="1">
        <v>45583.474120370367</v>
      </c>
      <c r="P649" t="s">
        <v>138</v>
      </c>
    </row>
    <row r="650" spans="1:16" x14ac:dyDescent="0.3">
      <c r="A650" t="s">
        <v>25</v>
      </c>
      <c r="B650" s="1">
        <v>45583.474108796298</v>
      </c>
      <c r="C650" t="str">
        <f t="shared" si="131"/>
        <v>41</v>
      </c>
      <c r="D650" t="s">
        <v>120</v>
      </c>
      <c r="E650" t="s">
        <v>116</v>
      </c>
      <c r="F650" t="s">
        <v>117</v>
      </c>
      <c r="H650" t="s">
        <v>243</v>
      </c>
      <c r="I650" t="str">
        <f>"101050002025447"</f>
        <v>101050002025447</v>
      </c>
      <c r="J650" t="str">
        <f t="shared" si="132"/>
        <v>515120</v>
      </c>
      <c r="K650" t="s">
        <v>2</v>
      </c>
      <c r="L650">
        <v>49</v>
      </c>
      <c r="M650">
        <v>49</v>
      </c>
      <c r="N650">
        <v>0</v>
      </c>
      <c r="O650" s="1">
        <v>45583.474108796298</v>
      </c>
      <c r="P650" t="s">
        <v>138</v>
      </c>
    </row>
    <row r="651" spans="1:16" x14ac:dyDescent="0.3">
      <c r="A651" t="s">
        <v>25</v>
      </c>
      <c r="B651" s="1">
        <v>45583.474108796298</v>
      </c>
      <c r="C651" t="str">
        <f t="shared" si="131"/>
        <v>41</v>
      </c>
      <c r="D651" t="s">
        <v>120</v>
      </c>
      <c r="E651" t="s">
        <v>116</v>
      </c>
      <c r="F651" t="s">
        <v>117</v>
      </c>
      <c r="H651" t="s">
        <v>243</v>
      </c>
      <c r="I651" t="str">
        <f>"101050002025409"</f>
        <v>101050002025409</v>
      </c>
      <c r="J651" t="str">
        <f t="shared" si="132"/>
        <v>515120</v>
      </c>
      <c r="K651" t="s">
        <v>2</v>
      </c>
      <c r="L651">
        <v>49</v>
      </c>
      <c r="M651">
        <v>49</v>
      </c>
      <c r="N651">
        <v>0</v>
      </c>
      <c r="O651" s="1">
        <v>45583.474108796298</v>
      </c>
      <c r="P651" t="s">
        <v>138</v>
      </c>
    </row>
    <row r="652" spans="1:16" x14ac:dyDescent="0.3">
      <c r="A652" t="s">
        <v>25</v>
      </c>
      <c r="B652" s="1">
        <v>45583.474108796298</v>
      </c>
      <c r="C652" t="str">
        <f t="shared" si="131"/>
        <v>41</v>
      </c>
      <c r="D652" t="s">
        <v>120</v>
      </c>
      <c r="E652" t="s">
        <v>116</v>
      </c>
      <c r="F652" t="s">
        <v>117</v>
      </c>
      <c r="H652" t="s">
        <v>243</v>
      </c>
      <c r="I652" t="str">
        <f>"101050002024761"</f>
        <v>101050002024761</v>
      </c>
      <c r="J652" t="str">
        <f t="shared" si="132"/>
        <v>515120</v>
      </c>
      <c r="K652" t="s">
        <v>2</v>
      </c>
      <c r="L652">
        <v>49</v>
      </c>
      <c r="M652">
        <v>49</v>
      </c>
      <c r="N652">
        <v>0</v>
      </c>
      <c r="O652" s="1">
        <v>45583.474108796298</v>
      </c>
      <c r="P652" t="s">
        <v>138</v>
      </c>
    </row>
    <row r="653" spans="1:16" x14ac:dyDescent="0.3">
      <c r="A653" t="s">
        <v>25</v>
      </c>
      <c r="B653" s="1">
        <v>45583.473483796297</v>
      </c>
      <c r="C653" t="str">
        <f>"38"</f>
        <v>38</v>
      </c>
      <c r="D653" t="s">
        <v>115</v>
      </c>
      <c r="E653" t="s">
        <v>116</v>
      </c>
      <c r="F653" t="s">
        <v>117</v>
      </c>
      <c r="H653" t="s">
        <v>244</v>
      </c>
      <c r="L653">
        <v>0</v>
      </c>
      <c r="M653">
        <v>0</v>
      </c>
      <c r="N653">
        <v>0</v>
      </c>
      <c r="O653" s="1">
        <v>45583.473483796297</v>
      </c>
      <c r="P653" t="s">
        <v>125</v>
      </c>
    </row>
    <row r="654" spans="1:16" x14ac:dyDescent="0.3">
      <c r="A654" t="s">
        <v>25</v>
      </c>
      <c r="B654" s="1">
        <v>45583.473414351851</v>
      </c>
      <c r="C654" t="str">
        <f>"38"</f>
        <v>38</v>
      </c>
      <c r="D654" t="s">
        <v>115</v>
      </c>
      <c r="E654" t="s">
        <v>116</v>
      </c>
      <c r="F654" t="s">
        <v>117</v>
      </c>
      <c r="H654" t="s">
        <v>245</v>
      </c>
      <c r="L654">
        <v>0</v>
      </c>
      <c r="M654">
        <v>0</v>
      </c>
      <c r="N654">
        <v>0</v>
      </c>
      <c r="O654" s="1">
        <v>45583.473414351851</v>
      </c>
      <c r="P654" t="s">
        <v>125</v>
      </c>
    </row>
    <row r="655" spans="1:16" x14ac:dyDescent="0.3">
      <c r="A655" t="s">
        <v>25</v>
      </c>
      <c r="B655" s="1">
        <v>45583.473356481481</v>
      </c>
      <c r="C655" t="str">
        <f>"38"</f>
        <v>38</v>
      </c>
      <c r="D655" t="s">
        <v>115</v>
      </c>
      <c r="E655" t="s">
        <v>116</v>
      </c>
      <c r="F655" t="s">
        <v>117</v>
      </c>
      <c r="H655" t="s">
        <v>246</v>
      </c>
      <c r="L655">
        <v>0</v>
      </c>
      <c r="M655">
        <v>0</v>
      </c>
      <c r="N655">
        <v>0</v>
      </c>
      <c r="O655" s="1">
        <v>45583.473356481481</v>
      </c>
      <c r="P655" t="s">
        <v>125</v>
      </c>
    </row>
    <row r="656" spans="1:16" x14ac:dyDescent="0.3">
      <c r="A656" t="s">
        <v>25</v>
      </c>
      <c r="B656" s="1">
        <v>45583.473287037035</v>
      </c>
      <c r="C656" t="str">
        <f>"38"</f>
        <v>38</v>
      </c>
      <c r="D656" t="s">
        <v>115</v>
      </c>
      <c r="E656" t="s">
        <v>116</v>
      </c>
      <c r="F656" t="s">
        <v>117</v>
      </c>
      <c r="H656" t="s">
        <v>247</v>
      </c>
      <c r="L656">
        <v>0</v>
      </c>
      <c r="M656">
        <v>0</v>
      </c>
      <c r="N656">
        <v>0</v>
      </c>
      <c r="O656" s="1">
        <v>45583.473287037035</v>
      </c>
      <c r="P656" t="s">
        <v>125</v>
      </c>
    </row>
    <row r="657" spans="1:16" x14ac:dyDescent="0.3">
      <c r="A657" t="s">
        <v>25</v>
      </c>
      <c r="B657" s="1">
        <v>45583.472395833334</v>
      </c>
      <c r="C657" t="str">
        <f>"38"</f>
        <v>38</v>
      </c>
      <c r="D657" t="s">
        <v>115</v>
      </c>
      <c r="E657" t="s">
        <v>116</v>
      </c>
      <c r="F657" t="s">
        <v>117</v>
      </c>
      <c r="H657" t="s">
        <v>248</v>
      </c>
      <c r="L657">
        <v>0</v>
      </c>
      <c r="M657">
        <v>0</v>
      </c>
      <c r="N657">
        <v>0</v>
      </c>
      <c r="O657" s="1">
        <v>45583.472395833334</v>
      </c>
      <c r="P657" t="s">
        <v>125</v>
      </c>
    </row>
    <row r="658" spans="1:16" x14ac:dyDescent="0.3">
      <c r="A658" t="s">
        <v>25</v>
      </c>
      <c r="B658" s="1">
        <v>45583.472395833334</v>
      </c>
      <c r="C658" t="str">
        <f>"41"</f>
        <v>41</v>
      </c>
      <c r="D658" t="s">
        <v>120</v>
      </c>
      <c r="E658" t="s">
        <v>116</v>
      </c>
      <c r="F658" t="s">
        <v>117</v>
      </c>
      <c r="H658" t="s">
        <v>248</v>
      </c>
      <c r="I658" t="str">
        <f>"101050001989159"</f>
        <v>101050001989159</v>
      </c>
      <c r="J658" t="str">
        <f>"514988"</f>
        <v>514988</v>
      </c>
      <c r="K658" t="s">
        <v>94</v>
      </c>
      <c r="L658">
        <v>49</v>
      </c>
      <c r="M658">
        <v>49</v>
      </c>
      <c r="N658">
        <v>0</v>
      </c>
      <c r="O658" s="1">
        <v>45583.472395833334</v>
      </c>
      <c r="P658" t="s">
        <v>125</v>
      </c>
    </row>
    <row r="659" spans="1:16" x14ac:dyDescent="0.3">
      <c r="A659" t="s">
        <v>25</v>
      </c>
      <c r="B659" s="1">
        <v>45583.472129629627</v>
      </c>
      <c r="C659" t="str">
        <f>"38"</f>
        <v>38</v>
      </c>
      <c r="D659" t="s">
        <v>115</v>
      </c>
      <c r="E659" t="s">
        <v>116</v>
      </c>
      <c r="F659" t="s">
        <v>117</v>
      </c>
      <c r="H659" t="s">
        <v>249</v>
      </c>
      <c r="L659">
        <v>0</v>
      </c>
      <c r="M659">
        <v>0</v>
      </c>
      <c r="N659">
        <v>0</v>
      </c>
      <c r="O659" s="1">
        <v>45583.472129629627</v>
      </c>
      <c r="P659" t="s">
        <v>125</v>
      </c>
    </row>
    <row r="660" spans="1:16" x14ac:dyDescent="0.3">
      <c r="A660" t="s">
        <v>25</v>
      </c>
      <c r="B660" s="1">
        <v>45583.472129629627</v>
      </c>
      <c r="C660" t="str">
        <f t="shared" ref="C660:C666" si="133">"41"</f>
        <v>41</v>
      </c>
      <c r="D660" t="s">
        <v>120</v>
      </c>
      <c r="E660" t="s">
        <v>116</v>
      </c>
      <c r="F660" t="s">
        <v>117</v>
      </c>
      <c r="H660" t="s">
        <v>249</v>
      </c>
      <c r="I660" t="str">
        <f>"101050001976656"</f>
        <v>101050001976656</v>
      </c>
      <c r="J660" t="str">
        <f t="shared" ref="J660:J666" si="134">"514862"</f>
        <v>514862</v>
      </c>
      <c r="K660" t="s">
        <v>91</v>
      </c>
      <c r="L660">
        <v>49</v>
      </c>
      <c r="M660">
        <v>49</v>
      </c>
      <c r="N660">
        <v>0</v>
      </c>
      <c r="O660" s="1">
        <v>45583.472129629627</v>
      </c>
      <c r="P660" t="s">
        <v>125</v>
      </c>
    </row>
    <row r="661" spans="1:16" x14ac:dyDescent="0.3">
      <c r="A661" t="s">
        <v>25</v>
      </c>
      <c r="B661" s="1">
        <v>45583.472129629627</v>
      </c>
      <c r="C661" t="str">
        <f t="shared" si="133"/>
        <v>41</v>
      </c>
      <c r="D661" t="s">
        <v>120</v>
      </c>
      <c r="E661" t="s">
        <v>116</v>
      </c>
      <c r="F661" t="s">
        <v>117</v>
      </c>
      <c r="H661" t="s">
        <v>249</v>
      </c>
      <c r="I661" t="str">
        <f>"101050001976654"</f>
        <v>101050001976654</v>
      </c>
      <c r="J661" t="str">
        <f t="shared" si="134"/>
        <v>514862</v>
      </c>
      <c r="K661" t="s">
        <v>91</v>
      </c>
      <c r="L661">
        <v>49</v>
      </c>
      <c r="M661">
        <v>49</v>
      </c>
      <c r="N661">
        <v>0</v>
      </c>
      <c r="O661" s="1">
        <v>45583.472129629627</v>
      </c>
      <c r="P661" t="s">
        <v>125</v>
      </c>
    </row>
    <row r="662" spans="1:16" x14ac:dyDescent="0.3">
      <c r="A662" t="s">
        <v>25</v>
      </c>
      <c r="B662" s="1">
        <v>45583.472118055557</v>
      </c>
      <c r="C662" t="str">
        <f t="shared" si="133"/>
        <v>41</v>
      </c>
      <c r="D662" t="s">
        <v>120</v>
      </c>
      <c r="E662" t="s">
        <v>116</v>
      </c>
      <c r="F662" t="s">
        <v>117</v>
      </c>
      <c r="H662" t="s">
        <v>249</v>
      </c>
      <c r="I662" t="str">
        <f>"101050001976655"</f>
        <v>101050001976655</v>
      </c>
      <c r="J662" t="str">
        <f t="shared" si="134"/>
        <v>514862</v>
      </c>
      <c r="K662" t="s">
        <v>91</v>
      </c>
      <c r="L662">
        <v>49</v>
      </c>
      <c r="M662">
        <v>49</v>
      </c>
      <c r="N662">
        <v>0</v>
      </c>
      <c r="O662" s="1">
        <v>45583.472118055557</v>
      </c>
      <c r="P662" t="s">
        <v>125</v>
      </c>
    </row>
    <row r="663" spans="1:16" x14ac:dyDescent="0.3">
      <c r="A663" t="s">
        <v>25</v>
      </c>
      <c r="B663" s="1">
        <v>45583.472118055557</v>
      </c>
      <c r="C663" t="str">
        <f t="shared" si="133"/>
        <v>41</v>
      </c>
      <c r="D663" t="s">
        <v>120</v>
      </c>
      <c r="E663" t="s">
        <v>116</v>
      </c>
      <c r="F663" t="s">
        <v>117</v>
      </c>
      <c r="H663" t="s">
        <v>249</v>
      </c>
      <c r="I663" t="str">
        <f>"101050001976772"</f>
        <v>101050001976772</v>
      </c>
      <c r="J663" t="str">
        <f t="shared" si="134"/>
        <v>514862</v>
      </c>
      <c r="K663" t="s">
        <v>91</v>
      </c>
      <c r="L663">
        <v>49</v>
      </c>
      <c r="M663">
        <v>49</v>
      </c>
      <c r="N663">
        <v>0</v>
      </c>
      <c r="O663" s="1">
        <v>45583.472118055557</v>
      </c>
      <c r="P663" t="s">
        <v>125</v>
      </c>
    </row>
    <row r="664" spans="1:16" x14ac:dyDescent="0.3">
      <c r="A664" t="s">
        <v>25</v>
      </c>
      <c r="B664" s="1">
        <v>45583.472118055557</v>
      </c>
      <c r="C664" t="str">
        <f t="shared" si="133"/>
        <v>41</v>
      </c>
      <c r="D664" t="s">
        <v>120</v>
      </c>
      <c r="E664" t="s">
        <v>116</v>
      </c>
      <c r="F664" t="s">
        <v>117</v>
      </c>
      <c r="H664" t="s">
        <v>249</v>
      </c>
      <c r="I664" t="str">
        <f>"101050001976672"</f>
        <v>101050001976672</v>
      </c>
      <c r="J664" t="str">
        <f t="shared" si="134"/>
        <v>514862</v>
      </c>
      <c r="K664" t="s">
        <v>91</v>
      </c>
      <c r="L664">
        <v>49</v>
      </c>
      <c r="M664">
        <v>49</v>
      </c>
      <c r="N664">
        <v>0</v>
      </c>
      <c r="O664" s="1">
        <v>45583.472118055557</v>
      </c>
      <c r="P664" t="s">
        <v>125</v>
      </c>
    </row>
    <row r="665" spans="1:16" x14ac:dyDescent="0.3">
      <c r="A665" t="s">
        <v>25</v>
      </c>
      <c r="B665" s="1">
        <v>45583.472118055557</v>
      </c>
      <c r="C665" t="str">
        <f t="shared" si="133"/>
        <v>41</v>
      </c>
      <c r="D665" t="s">
        <v>120</v>
      </c>
      <c r="E665" t="s">
        <v>116</v>
      </c>
      <c r="F665" t="s">
        <v>117</v>
      </c>
      <c r="H665" t="s">
        <v>249</v>
      </c>
      <c r="I665" t="str">
        <f>"101050001976674"</f>
        <v>101050001976674</v>
      </c>
      <c r="J665" t="str">
        <f t="shared" si="134"/>
        <v>514862</v>
      </c>
      <c r="K665" t="s">
        <v>91</v>
      </c>
      <c r="L665">
        <v>49</v>
      </c>
      <c r="M665">
        <v>49</v>
      </c>
      <c r="N665">
        <v>0</v>
      </c>
      <c r="O665" s="1">
        <v>45583.472118055557</v>
      </c>
      <c r="P665" t="s">
        <v>125</v>
      </c>
    </row>
    <row r="666" spans="1:16" x14ac:dyDescent="0.3">
      <c r="A666" t="s">
        <v>25</v>
      </c>
      <c r="B666" s="1">
        <v>45583.472118055557</v>
      </c>
      <c r="C666" t="str">
        <f t="shared" si="133"/>
        <v>41</v>
      </c>
      <c r="D666" t="s">
        <v>120</v>
      </c>
      <c r="E666" t="s">
        <v>116</v>
      </c>
      <c r="F666" t="s">
        <v>117</v>
      </c>
      <c r="H666" t="s">
        <v>249</v>
      </c>
      <c r="I666" t="str">
        <f>"101050001976364"</f>
        <v>101050001976364</v>
      </c>
      <c r="J666" t="str">
        <f t="shared" si="134"/>
        <v>514862</v>
      </c>
      <c r="K666" t="s">
        <v>91</v>
      </c>
      <c r="L666">
        <v>49</v>
      </c>
      <c r="M666">
        <v>49</v>
      </c>
      <c r="N666">
        <v>0</v>
      </c>
      <c r="O666" s="1">
        <v>45583.472118055557</v>
      </c>
      <c r="P666" t="s">
        <v>125</v>
      </c>
    </row>
    <row r="667" spans="1:16" x14ac:dyDescent="0.3">
      <c r="A667" t="s">
        <v>25</v>
      </c>
      <c r="B667" s="1">
        <v>45583.471759259257</v>
      </c>
      <c r="C667" t="str">
        <f>"38"</f>
        <v>38</v>
      </c>
      <c r="D667" t="s">
        <v>115</v>
      </c>
      <c r="E667" t="s">
        <v>116</v>
      </c>
      <c r="F667" t="s">
        <v>117</v>
      </c>
      <c r="H667" t="s">
        <v>250</v>
      </c>
      <c r="L667">
        <v>0</v>
      </c>
      <c r="M667">
        <v>0</v>
      </c>
      <c r="N667">
        <v>0</v>
      </c>
      <c r="O667" s="1">
        <v>45583.471759259257</v>
      </c>
      <c r="P667" t="s">
        <v>138</v>
      </c>
    </row>
    <row r="668" spans="1:16" x14ac:dyDescent="0.3">
      <c r="A668" t="s">
        <v>25</v>
      </c>
      <c r="B668" s="1">
        <v>45583.471747685187</v>
      </c>
      <c r="C668" t="str">
        <f t="shared" ref="C668:C674" si="135">"41"</f>
        <v>41</v>
      </c>
      <c r="D668" t="s">
        <v>120</v>
      </c>
      <c r="E668" t="s">
        <v>116</v>
      </c>
      <c r="F668" t="s">
        <v>117</v>
      </c>
      <c r="H668" t="s">
        <v>250</v>
      </c>
      <c r="I668" t="str">
        <f>"101050002028216"</f>
        <v>101050002028216</v>
      </c>
      <c r="J668" t="str">
        <f t="shared" ref="J668:J674" si="136">"127571"</f>
        <v>127571</v>
      </c>
      <c r="K668" t="s">
        <v>5</v>
      </c>
      <c r="L668">
        <v>91</v>
      </c>
      <c r="M668">
        <v>91</v>
      </c>
      <c r="N668">
        <v>0</v>
      </c>
      <c r="O668" s="1">
        <v>45583.471747685187</v>
      </c>
      <c r="P668" t="s">
        <v>138</v>
      </c>
    </row>
    <row r="669" spans="1:16" x14ac:dyDescent="0.3">
      <c r="A669" t="s">
        <v>25</v>
      </c>
      <c r="B669" s="1">
        <v>45583.471747685187</v>
      </c>
      <c r="C669" t="str">
        <f t="shared" si="135"/>
        <v>41</v>
      </c>
      <c r="D669" t="s">
        <v>120</v>
      </c>
      <c r="E669" t="s">
        <v>116</v>
      </c>
      <c r="F669" t="s">
        <v>117</v>
      </c>
      <c r="H669" t="s">
        <v>250</v>
      </c>
      <c r="I669" t="str">
        <f>"101050002027343"</f>
        <v>101050002027343</v>
      </c>
      <c r="J669" t="str">
        <f t="shared" si="136"/>
        <v>127571</v>
      </c>
      <c r="K669" t="s">
        <v>5</v>
      </c>
      <c r="L669">
        <v>91</v>
      </c>
      <c r="M669">
        <v>91</v>
      </c>
      <c r="N669">
        <v>0</v>
      </c>
      <c r="O669" s="1">
        <v>45583.471747685187</v>
      </c>
      <c r="P669" t="s">
        <v>138</v>
      </c>
    </row>
    <row r="670" spans="1:16" x14ac:dyDescent="0.3">
      <c r="A670" t="s">
        <v>25</v>
      </c>
      <c r="B670" s="1">
        <v>45583.471747685187</v>
      </c>
      <c r="C670" t="str">
        <f t="shared" si="135"/>
        <v>41</v>
      </c>
      <c r="D670" t="s">
        <v>120</v>
      </c>
      <c r="E670" t="s">
        <v>116</v>
      </c>
      <c r="F670" t="s">
        <v>117</v>
      </c>
      <c r="H670" t="s">
        <v>250</v>
      </c>
      <c r="I670" t="str">
        <f>"101050002027229"</f>
        <v>101050002027229</v>
      </c>
      <c r="J670" t="str">
        <f t="shared" si="136"/>
        <v>127571</v>
      </c>
      <c r="K670" t="s">
        <v>5</v>
      </c>
      <c r="L670">
        <v>91</v>
      </c>
      <c r="M670">
        <v>91</v>
      </c>
      <c r="N670">
        <v>0</v>
      </c>
      <c r="O670" s="1">
        <v>45583.471747685187</v>
      </c>
      <c r="P670" t="s">
        <v>138</v>
      </c>
    </row>
    <row r="671" spans="1:16" x14ac:dyDescent="0.3">
      <c r="A671" t="s">
        <v>25</v>
      </c>
      <c r="B671" s="1">
        <v>45583.471747685187</v>
      </c>
      <c r="C671" t="str">
        <f t="shared" si="135"/>
        <v>41</v>
      </c>
      <c r="D671" t="s">
        <v>120</v>
      </c>
      <c r="E671" t="s">
        <v>116</v>
      </c>
      <c r="F671" t="s">
        <v>117</v>
      </c>
      <c r="H671" t="s">
        <v>250</v>
      </c>
      <c r="I671" t="str">
        <f>"101050002028217"</f>
        <v>101050002028217</v>
      </c>
      <c r="J671" t="str">
        <f t="shared" si="136"/>
        <v>127571</v>
      </c>
      <c r="K671" t="s">
        <v>5</v>
      </c>
      <c r="L671">
        <v>91</v>
      </c>
      <c r="M671">
        <v>91</v>
      </c>
      <c r="N671">
        <v>0</v>
      </c>
      <c r="O671" s="1">
        <v>45583.471747685187</v>
      </c>
      <c r="P671" t="s">
        <v>138</v>
      </c>
    </row>
    <row r="672" spans="1:16" x14ac:dyDescent="0.3">
      <c r="A672" t="s">
        <v>25</v>
      </c>
      <c r="B672" s="1">
        <v>45583.471747685187</v>
      </c>
      <c r="C672" t="str">
        <f t="shared" si="135"/>
        <v>41</v>
      </c>
      <c r="D672" t="s">
        <v>120</v>
      </c>
      <c r="E672" t="s">
        <v>116</v>
      </c>
      <c r="F672" t="s">
        <v>117</v>
      </c>
      <c r="H672" t="s">
        <v>250</v>
      </c>
      <c r="I672" t="str">
        <f>"101050002028167"</f>
        <v>101050002028167</v>
      </c>
      <c r="J672" t="str">
        <f t="shared" si="136"/>
        <v>127571</v>
      </c>
      <c r="K672" t="s">
        <v>5</v>
      </c>
      <c r="L672">
        <v>91</v>
      </c>
      <c r="M672">
        <v>91</v>
      </c>
      <c r="N672">
        <v>0</v>
      </c>
      <c r="O672" s="1">
        <v>45583.471747685187</v>
      </c>
      <c r="P672" t="s">
        <v>138</v>
      </c>
    </row>
    <row r="673" spans="1:16" x14ac:dyDescent="0.3">
      <c r="A673" t="s">
        <v>25</v>
      </c>
      <c r="B673" s="1">
        <v>45583.471747685187</v>
      </c>
      <c r="C673" t="str">
        <f t="shared" si="135"/>
        <v>41</v>
      </c>
      <c r="D673" t="s">
        <v>120</v>
      </c>
      <c r="E673" t="s">
        <v>116</v>
      </c>
      <c r="F673" t="s">
        <v>117</v>
      </c>
      <c r="H673" t="s">
        <v>250</v>
      </c>
      <c r="I673" t="str">
        <f>"101050002027755"</f>
        <v>101050002027755</v>
      </c>
      <c r="J673" t="str">
        <f t="shared" si="136"/>
        <v>127571</v>
      </c>
      <c r="K673" t="s">
        <v>5</v>
      </c>
      <c r="L673">
        <v>91</v>
      </c>
      <c r="M673">
        <v>91</v>
      </c>
      <c r="N673">
        <v>0</v>
      </c>
      <c r="O673" s="1">
        <v>45583.471747685187</v>
      </c>
      <c r="P673" t="s">
        <v>138</v>
      </c>
    </row>
    <row r="674" spans="1:16" x14ac:dyDescent="0.3">
      <c r="A674" t="s">
        <v>25</v>
      </c>
      <c r="B674" s="1">
        <v>45583.471747685187</v>
      </c>
      <c r="C674" t="str">
        <f t="shared" si="135"/>
        <v>41</v>
      </c>
      <c r="D674" t="s">
        <v>120</v>
      </c>
      <c r="E674" t="s">
        <v>116</v>
      </c>
      <c r="F674" t="s">
        <v>117</v>
      </c>
      <c r="H674" t="s">
        <v>250</v>
      </c>
      <c r="I674" t="str">
        <f>"101050002027704"</f>
        <v>101050002027704</v>
      </c>
      <c r="J674" t="str">
        <f t="shared" si="136"/>
        <v>127571</v>
      </c>
      <c r="K674" t="s">
        <v>5</v>
      </c>
      <c r="L674">
        <v>91</v>
      </c>
      <c r="M674">
        <v>91</v>
      </c>
      <c r="N674">
        <v>0</v>
      </c>
      <c r="O674" s="1">
        <v>45583.471747685187</v>
      </c>
      <c r="P674" t="s">
        <v>138</v>
      </c>
    </row>
    <row r="675" spans="1:16" x14ac:dyDescent="0.3">
      <c r="A675" t="s">
        <v>25</v>
      </c>
      <c r="B675" s="1">
        <v>45583.471250000002</v>
      </c>
      <c r="C675" t="str">
        <f>"38"</f>
        <v>38</v>
      </c>
      <c r="D675" t="s">
        <v>115</v>
      </c>
      <c r="E675" t="s">
        <v>116</v>
      </c>
      <c r="F675" t="s">
        <v>117</v>
      </c>
      <c r="H675" t="s">
        <v>251</v>
      </c>
      <c r="L675">
        <v>0</v>
      </c>
      <c r="M675">
        <v>0</v>
      </c>
      <c r="N675">
        <v>0</v>
      </c>
      <c r="O675" s="1">
        <v>45583.471250000002</v>
      </c>
      <c r="P675" t="s">
        <v>122</v>
      </c>
    </row>
    <row r="676" spans="1:16" x14ac:dyDescent="0.3">
      <c r="A676" t="s">
        <v>25</v>
      </c>
      <c r="B676" s="1">
        <v>45583.471250000002</v>
      </c>
      <c r="C676" t="str">
        <f t="shared" ref="C676:C682" si="137">"41"</f>
        <v>41</v>
      </c>
      <c r="D676" t="s">
        <v>120</v>
      </c>
      <c r="E676" t="s">
        <v>116</v>
      </c>
      <c r="F676" t="s">
        <v>117</v>
      </c>
      <c r="H676" t="s">
        <v>251</v>
      </c>
      <c r="I676" t="str">
        <f>"101050002026357"</f>
        <v>101050002026357</v>
      </c>
      <c r="J676" t="str">
        <f t="shared" ref="J676:J682" si="138">"515122"</f>
        <v>515122</v>
      </c>
      <c r="K676" t="s">
        <v>4</v>
      </c>
      <c r="L676">
        <v>49</v>
      </c>
      <c r="M676">
        <v>49</v>
      </c>
      <c r="N676">
        <v>0</v>
      </c>
      <c r="O676" s="1">
        <v>45583.471250000002</v>
      </c>
      <c r="P676" t="s">
        <v>122</v>
      </c>
    </row>
    <row r="677" spans="1:16" x14ac:dyDescent="0.3">
      <c r="A677" t="s">
        <v>25</v>
      </c>
      <c r="B677" s="1">
        <v>45583.471250000002</v>
      </c>
      <c r="C677" t="str">
        <f t="shared" si="137"/>
        <v>41</v>
      </c>
      <c r="D677" t="s">
        <v>120</v>
      </c>
      <c r="E677" t="s">
        <v>116</v>
      </c>
      <c r="F677" t="s">
        <v>117</v>
      </c>
      <c r="H677" t="s">
        <v>251</v>
      </c>
      <c r="I677" t="str">
        <f>"101050002025240"</f>
        <v>101050002025240</v>
      </c>
      <c r="J677" t="str">
        <f t="shared" si="138"/>
        <v>515122</v>
      </c>
      <c r="K677" t="s">
        <v>4</v>
      </c>
      <c r="L677">
        <v>49</v>
      </c>
      <c r="M677">
        <v>49</v>
      </c>
      <c r="N677">
        <v>0</v>
      </c>
      <c r="O677" s="1">
        <v>45583.471250000002</v>
      </c>
      <c r="P677" t="s">
        <v>122</v>
      </c>
    </row>
    <row r="678" spans="1:16" x14ac:dyDescent="0.3">
      <c r="A678" t="s">
        <v>25</v>
      </c>
      <c r="B678" s="1">
        <v>45583.471238425926</v>
      </c>
      <c r="C678" t="str">
        <f t="shared" si="137"/>
        <v>41</v>
      </c>
      <c r="D678" t="s">
        <v>120</v>
      </c>
      <c r="E678" t="s">
        <v>116</v>
      </c>
      <c r="F678" t="s">
        <v>117</v>
      </c>
      <c r="H678" t="s">
        <v>251</v>
      </c>
      <c r="I678" t="str">
        <f>"101050002024918"</f>
        <v>101050002024918</v>
      </c>
      <c r="J678" t="str">
        <f t="shared" si="138"/>
        <v>515122</v>
      </c>
      <c r="K678" t="s">
        <v>4</v>
      </c>
      <c r="L678">
        <v>49</v>
      </c>
      <c r="M678">
        <v>49</v>
      </c>
      <c r="N678">
        <v>0</v>
      </c>
      <c r="O678" s="1">
        <v>45583.471238425926</v>
      </c>
      <c r="P678" t="s">
        <v>122</v>
      </c>
    </row>
    <row r="679" spans="1:16" x14ac:dyDescent="0.3">
      <c r="A679" t="s">
        <v>25</v>
      </c>
      <c r="B679" s="1">
        <v>45583.471238425926</v>
      </c>
      <c r="C679" t="str">
        <f t="shared" si="137"/>
        <v>41</v>
      </c>
      <c r="D679" t="s">
        <v>120</v>
      </c>
      <c r="E679" t="s">
        <v>116</v>
      </c>
      <c r="F679" t="s">
        <v>117</v>
      </c>
      <c r="H679" t="s">
        <v>251</v>
      </c>
      <c r="I679" t="str">
        <f>"101050002025411"</f>
        <v>101050002025411</v>
      </c>
      <c r="J679" t="str">
        <f t="shared" si="138"/>
        <v>515122</v>
      </c>
      <c r="K679" t="s">
        <v>4</v>
      </c>
      <c r="L679">
        <v>49</v>
      </c>
      <c r="M679">
        <v>49</v>
      </c>
      <c r="N679">
        <v>0</v>
      </c>
      <c r="O679" s="1">
        <v>45583.471238425926</v>
      </c>
      <c r="P679" t="s">
        <v>122</v>
      </c>
    </row>
    <row r="680" spans="1:16" x14ac:dyDescent="0.3">
      <c r="A680" t="s">
        <v>25</v>
      </c>
      <c r="B680" s="1">
        <v>45583.471238425926</v>
      </c>
      <c r="C680" t="str">
        <f t="shared" si="137"/>
        <v>41</v>
      </c>
      <c r="D680" t="s">
        <v>120</v>
      </c>
      <c r="E680" t="s">
        <v>116</v>
      </c>
      <c r="F680" t="s">
        <v>117</v>
      </c>
      <c r="H680" t="s">
        <v>251</v>
      </c>
      <c r="I680" t="str">
        <f>"101050002024507"</f>
        <v>101050002024507</v>
      </c>
      <c r="J680" t="str">
        <f t="shared" si="138"/>
        <v>515122</v>
      </c>
      <c r="K680" t="s">
        <v>4</v>
      </c>
      <c r="L680">
        <v>49</v>
      </c>
      <c r="M680">
        <v>49</v>
      </c>
      <c r="N680">
        <v>0</v>
      </c>
      <c r="O680" s="1">
        <v>45583.471238425926</v>
      </c>
      <c r="P680" t="s">
        <v>122</v>
      </c>
    </row>
    <row r="681" spans="1:16" x14ac:dyDescent="0.3">
      <c r="A681" t="s">
        <v>25</v>
      </c>
      <c r="B681" s="1">
        <v>45583.471238425926</v>
      </c>
      <c r="C681" t="str">
        <f t="shared" si="137"/>
        <v>41</v>
      </c>
      <c r="D681" t="s">
        <v>120</v>
      </c>
      <c r="E681" t="s">
        <v>116</v>
      </c>
      <c r="F681" t="s">
        <v>117</v>
      </c>
      <c r="H681" t="s">
        <v>251</v>
      </c>
      <c r="I681" t="str">
        <f>"101050002024511"</f>
        <v>101050002024511</v>
      </c>
      <c r="J681" t="str">
        <f t="shared" si="138"/>
        <v>515122</v>
      </c>
      <c r="K681" t="s">
        <v>4</v>
      </c>
      <c r="L681">
        <v>49</v>
      </c>
      <c r="M681">
        <v>49</v>
      </c>
      <c r="N681">
        <v>0</v>
      </c>
      <c r="O681" s="1">
        <v>45583.471238425926</v>
      </c>
      <c r="P681" t="s">
        <v>122</v>
      </c>
    </row>
    <row r="682" spans="1:16" x14ac:dyDescent="0.3">
      <c r="A682" t="s">
        <v>25</v>
      </c>
      <c r="B682" s="1">
        <v>45583.471238425926</v>
      </c>
      <c r="C682" t="str">
        <f t="shared" si="137"/>
        <v>41</v>
      </c>
      <c r="D682" t="s">
        <v>120</v>
      </c>
      <c r="E682" t="s">
        <v>116</v>
      </c>
      <c r="F682" t="s">
        <v>117</v>
      </c>
      <c r="H682" t="s">
        <v>251</v>
      </c>
      <c r="I682" t="str">
        <f>"101050002021633"</f>
        <v>101050002021633</v>
      </c>
      <c r="J682" t="str">
        <f t="shared" si="138"/>
        <v>515122</v>
      </c>
      <c r="K682" t="s">
        <v>4</v>
      </c>
      <c r="L682">
        <v>49</v>
      </c>
      <c r="M682">
        <v>49</v>
      </c>
      <c r="N682">
        <v>0</v>
      </c>
      <c r="O682" s="1">
        <v>45583.471238425926</v>
      </c>
      <c r="P682" t="s">
        <v>122</v>
      </c>
    </row>
    <row r="683" spans="1:16" x14ac:dyDescent="0.3">
      <c r="A683" t="s">
        <v>25</v>
      </c>
      <c r="B683" s="1">
        <v>45583.470925925925</v>
      </c>
      <c r="C683" t="str">
        <f>"38"</f>
        <v>38</v>
      </c>
      <c r="D683" t="s">
        <v>115</v>
      </c>
      <c r="E683" t="s">
        <v>116</v>
      </c>
      <c r="F683" t="s">
        <v>117</v>
      </c>
      <c r="H683" t="s">
        <v>252</v>
      </c>
      <c r="L683">
        <v>0</v>
      </c>
      <c r="M683">
        <v>0</v>
      </c>
      <c r="N683">
        <v>0</v>
      </c>
      <c r="O683" s="1">
        <v>45583.470925925925</v>
      </c>
      <c r="P683" t="s">
        <v>138</v>
      </c>
    </row>
    <row r="684" spans="1:16" x14ac:dyDescent="0.3">
      <c r="A684" t="s">
        <v>25</v>
      </c>
      <c r="B684" s="1">
        <v>45583.470925925925</v>
      </c>
      <c r="C684" t="str">
        <f t="shared" ref="C684:C690" si="139">"41"</f>
        <v>41</v>
      </c>
      <c r="D684" t="s">
        <v>120</v>
      </c>
      <c r="E684" t="s">
        <v>116</v>
      </c>
      <c r="F684" t="s">
        <v>117</v>
      </c>
      <c r="H684" t="s">
        <v>252</v>
      </c>
      <c r="I684" t="str">
        <f>"101050002023162"</f>
        <v>101050002023162</v>
      </c>
      <c r="J684" t="str">
        <f t="shared" ref="J684:J690" si="140">"515122"</f>
        <v>515122</v>
      </c>
      <c r="K684" t="s">
        <v>4</v>
      </c>
      <c r="L684">
        <v>49</v>
      </c>
      <c r="M684">
        <v>49</v>
      </c>
      <c r="N684">
        <v>0</v>
      </c>
      <c r="O684" s="1">
        <v>45583.470925925925</v>
      </c>
      <c r="P684" t="s">
        <v>138</v>
      </c>
    </row>
    <row r="685" spans="1:16" x14ac:dyDescent="0.3">
      <c r="A685" t="s">
        <v>25</v>
      </c>
      <c r="B685" s="1">
        <v>45583.470925925925</v>
      </c>
      <c r="C685" t="str">
        <f t="shared" si="139"/>
        <v>41</v>
      </c>
      <c r="D685" t="s">
        <v>120</v>
      </c>
      <c r="E685" t="s">
        <v>116</v>
      </c>
      <c r="F685" t="s">
        <v>117</v>
      </c>
      <c r="H685" t="s">
        <v>252</v>
      </c>
      <c r="I685" t="str">
        <f>"101050002023031"</f>
        <v>101050002023031</v>
      </c>
      <c r="J685" t="str">
        <f t="shared" si="140"/>
        <v>515122</v>
      </c>
      <c r="K685" t="s">
        <v>4</v>
      </c>
      <c r="L685">
        <v>49</v>
      </c>
      <c r="M685">
        <v>49</v>
      </c>
      <c r="N685">
        <v>0</v>
      </c>
      <c r="O685" s="1">
        <v>45583.470925925925</v>
      </c>
      <c r="P685" t="s">
        <v>138</v>
      </c>
    </row>
    <row r="686" spans="1:16" x14ac:dyDescent="0.3">
      <c r="A686" t="s">
        <v>25</v>
      </c>
      <c r="B686" s="1">
        <v>45583.470925925925</v>
      </c>
      <c r="C686" t="str">
        <f t="shared" si="139"/>
        <v>41</v>
      </c>
      <c r="D686" t="s">
        <v>120</v>
      </c>
      <c r="E686" t="s">
        <v>116</v>
      </c>
      <c r="F686" t="s">
        <v>117</v>
      </c>
      <c r="H686" t="s">
        <v>252</v>
      </c>
      <c r="I686" t="str">
        <f>"101050002022976"</f>
        <v>101050002022976</v>
      </c>
      <c r="J686" t="str">
        <f t="shared" si="140"/>
        <v>515122</v>
      </c>
      <c r="K686" t="s">
        <v>4</v>
      </c>
      <c r="L686">
        <v>49</v>
      </c>
      <c r="M686">
        <v>49</v>
      </c>
      <c r="N686">
        <v>0</v>
      </c>
      <c r="O686" s="1">
        <v>45583.470925925925</v>
      </c>
      <c r="P686" t="s">
        <v>138</v>
      </c>
    </row>
    <row r="687" spans="1:16" x14ac:dyDescent="0.3">
      <c r="A687" t="s">
        <v>25</v>
      </c>
      <c r="B687" s="1">
        <v>45583.470925925925</v>
      </c>
      <c r="C687" t="str">
        <f t="shared" si="139"/>
        <v>41</v>
      </c>
      <c r="D687" t="s">
        <v>120</v>
      </c>
      <c r="E687" t="s">
        <v>116</v>
      </c>
      <c r="F687" t="s">
        <v>117</v>
      </c>
      <c r="H687" t="s">
        <v>252</v>
      </c>
      <c r="I687" t="str">
        <f>"101050002023166"</f>
        <v>101050002023166</v>
      </c>
      <c r="J687" t="str">
        <f t="shared" si="140"/>
        <v>515122</v>
      </c>
      <c r="K687" t="s">
        <v>4</v>
      </c>
      <c r="L687">
        <v>49</v>
      </c>
      <c r="M687">
        <v>49</v>
      </c>
      <c r="N687">
        <v>0</v>
      </c>
      <c r="O687" s="1">
        <v>45583.470925925925</v>
      </c>
      <c r="P687" t="s">
        <v>138</v>
      </c>
    </row>
    <row r="688" spans="1:16" x14ac:dyDescent="0.3">
      <c r="A688" t="s">
        <v>25</v>
      </c>
      <c r="B688" s="1">
        <v>45583.470914351848</v>
      </c>
      <c r="C688" t="str">
        <f t="shared" si="139"/>
        <v>41</v>
      </c>
      <c r="D688" t="s">
        <v>120</v>
      </c>
      <c r="E688" t="s">
        <v>116</v>
      </c>
      <c r="F688" t="s">
        <v>117</v>
      </c>
      <c r="H688" t="s">
        <v>252</v>
      </c>
      <c r="I688" t="str">
        <f>"101050002023165"</f>
        <v>101050002023165</v>
      </c>
      <c r="J688" t="str">
        <f t="shared" si="140"/>
        <v>515122</v>
      </c>
      <c r="K688" t="s">
        <v>4</v>
      </c>
      <c r="L688">
        <v>49</v>
      </c>
      <c r="M688">
        <v>49</v>
      </c>
      <c r="N688">
        <v>0</v>
      </c>
      <c r="O688" s="1">
        <v>45583.470914351848</v>
      </c>
      <c r="P688" t="s">
        <v>138</v>
      </c>
    </row>
    <row r="689" spans="1:16" x14ac:dyDescent="0.3">
      <c r="A689" t="s">
        <v>25</v>
      </c>
      <c r="B689" s="1">
        <v>45583.470914351848</v>
      </c>
      <c r="C689" t="str">
        <f t="shared" si="139"/>
        <v>41</v>
      </c>
      <c r="D689" t="s">
        <v>120</v>
      </c>
      <c r="E689" t="s">
        <v>116</v>
      </c>
      <c r="F689" t="s">
        <v>117</v>
      </c>
      <c r="H689" t="s">
        <v>252</v>
      </c>
      <c r="I689" t="str">
        <f>"101050002023103"</f>
        <v>101050002023103</v>
      </c>
      <c r="J689" t="str">
        <f t="shared" si="140"/>
        <v>515122</v>
      </c>
      <c r="K689" t="s">
        <v>4</v>
      </c>
      <c r="L689">
        <v>49</v>
      </c>
      <c r="M689">
        <v>49</v>
      </c>
      <c r="N689">
        <v>0</v>
      </c>
      <c r="O689" s="1">
        <v>45583.470914351848</v>
      </c>
      <c r="P689" t="s">
        <v>138</v>
      </c>
    </row>
    <row r="690" spans="1:16" x14ac:dyDescent="0.3">
      <c r="A690" t="s">
        <v>25</v>
      </c>
      <c r="B690" s="1">
        <v>45583.470914351848</v>
      </c>
      <c r="C690" t="str">
        <f t="shared" si="139"/>
        <v>41</v>
      </c>
      <c r="D690" t="s">
        <v>120</v>
      </c>
      <c r="E690" t="s">
        <v>116</v>
      </c>
      <c r="F690" t="s">
        <v>117</v>
      </c>
      <c r="H690" t="s">
        <v>252</v>
      </c>
      <c r="I690" t="str">
        <f>"101050002023120"</f>
        <v>101050002023120</v>
      </c>
      <c r="J690" t="str">
        <f t="shared" si="140"/>
        <v>515122</v>
      </c>
      <c r="K690" t="s">
        <v>4</v>
      </c>
      <c r="L690">
        <v>49</v>
      </c>
      <c r="M690">
        <v>49</v>
      </c>
      <c r="N690">
        <v>0</v>
      </c>
      <c r="O690" s="1">
        <v>45583.470914351848</v>
      </c>
      <c r="P690" t="s">
        <v>138</v>
      </c>
    </row>
    <row r="691" spans="1:16" x14ac:dyDescent="0.3">
      <c r="A691" t="s">
        <v>25</v>
      </c>
      <c r="B691" s="1">
        <v>45583.472141203703</v>
      </c>
      <c r="C691" t="str">
        <f>"38"</f>
        <v>38</v>
      </c>
      <c r="D691" t="s">
        <v>115</v>
      </c>
      <c r="E691" t="s">
        <v>116</v>
      </c>
      <c r="F691" t="s">
        <v>117</v>
      </c>
      <c r="H691" t="s">
        <v>253</v>
      </c>
      <c r="L691">
        <v>0</v>
      </c>
      <c r="M691">
        <v>0</v>
      </c>
      <c r="N691">
        <v>0</v>
      </c>
      <c r="O691" s="1">
        <v>45583.472141203703</v>
      </c>
      <c r="P691" t="s">
        <v>119</v>
      </c>
    </row>
    <row r="692" spans="1:16" x14ac:dyDescent="0.3">
      <c r="A692" t="s">
        <v>25</v>
      </c>
      <c r="B692" s="1">
        <v>45583.472141203703</v>
      </c>
      <c r="C692" t="str">
        <f>"41"</f>
        <v>41</v>
      </c>
      <c r="D692" t="s">
        <v>120</v>
      </c>
      <c r="E692" t="s">
        <v>116</v>
      </c>
      <c r="F692" t="s">
        <v>117</v>
      </c>
      <c r="H692" t="s">
        <v>253</v>
      </c>
      <c r="I692" t="str">
        <f>"101050001979484"</f>
        <v>101050001979484</v>
      </c>
      <c r="J692" t="str">
        <f>"128319"</f>
        <v>128319</v>
      </c>
      <c r="K692" t="s">
        <v>65</v>
      </c>
      <c r="L692">
        <v>49</v>
      </c>
      <c r="M692">
        <v>49</v>
      </c>
      <c r="N692">
        <v>0</v>
      </c>
      <c r="O692" s="1">
        <v>45583.472141203703</v>
      </c>
      <c r="P692" t="s">
        <v>119</v>
      </c>
    </row>
    <row r="693" spans="1:16" x14ac:dyDescent="0.3">
      <c r="A693" t="s">
        <v>25</v>
      </c>
      <c r="B693" s="1">
        <v>45583.472141203703</v>
      </c>
      <c r="C693" t="str">
        <f>"41"</f>
        <v>41</v>
      </c>
      <c r="D693" t="s">
        <v>120</v>
      </c>
      <c r="E693" t="s">
        <v>116</v>
      </c>
      <c r="F693" t="s">
        <v>117</v>
      </c>
      <c r="H693" t="s">
        <v>253</v>
      </c>
      <c r="I693" t="str">
        <f>"101050002011042"</f>
        <v>101050002011042</v>
      </c>
      <c r="J693" t="str">
        <f>"128319"</f>
        <v>128319</v>
      </c>
      <c r="K693" t="s">
        <v>65</v>
      </c>
      <c r="L693">
        <v>49</v>
      </c>
      <c r="M693">
        <v>49</v>
      </c>
      <c r="N693">
        <v>0</v>
      </c>
      <c r="O693" s="1">
        <v>45583.472141203703</v>
      </c>
      <c r="P693" t="s">
        <v>119</v>
      </c>
    </row>
    <row r="694" spans="1:16" x14ac:dyDescent="0.3">
      <c r="A694" t="s">
        <v>25</v>
      </c>
      <c r="B694" s="1">
        <v>45583.469895833332</v>
      </c>
      <c r="C694" t="str">
        <f>"38"</f>
        <v>38</v>
      </c>
      <c r="D694" t="s">
        <v>115</v>
      </c>
      <c r="E694" t="s">
        <v>116</v>
      </c>
      <c r="F694" t="s">
        <v>117</v>
      </c>
      <c r="H694" t="s">
        <v>254</v>
      </c>
      <c r="L694">
        <v>0</v>
      </c>
      <c r="M694">
        <v>0</v>
      </c>
      <c r="N694">
        <v>0</v>
      </c>
      <c r="O694" s="1">
        <v>45583.469895833332</v>
      </c>
      <c r="P694" t="s">
        <v>125</v>
      </c>
    </row>
    <row r="695" spans="1:16" x14ac:dyDescent="0.3">
      <c r="A695" t="s">
        <v>25</v>
      </c>
      <c r="B695" s="1">
        <v>45583.469814814816</v>
      </c>
      <c r="C695" t="str">
        <f>"38"</f>
        <v>38</v>
      </c>
      <c r="D695" t="s">
        <v>115</v>
      </c>
      <c r="E695" t="s">
        <v>116</v>
      </c>
      <c r="F695" t="s">
        <v>117</v>
      </c>
      <c r="H695" t="s">
        <v>255</v>
      </c>
      <c r="L695">
        <v>0</v>
      </c>
      <c r="M695">
        <v>0</v>
      </c>
      <c r="N695">
        <v>0</v>
      </c>
      <c r="O695" s="1">
        <v>45583.469814814816</v>
      </c>
      <c r="P695" t="s">
        <v>125</v>
      </c>
    </row>
    <row r="696" spans="1:16" x14ac:dyDescent="0.3">
      <c r="A696" t="s">
        <v>25</v>
      </c>
      <c r="B696" s="1">
        <v>45583.469259259262</v>
      </c>
      <c r="C696" t="str">
        <f>"38"</f>
        <v>38</v>
      </c>
      <c r="D696" t="s">
        <v>115</v>
      </c>
      <c r="E696" t="s">
        <v>116</v>
      </c>
      <c r="F696" t="s">
        <v>117</v>
      </c>
      <c r="H696" t="s">
        <v>256</v>
      </c>
      <c r="L696">
        <v>0</v>
      </c>
      <c r="M696">
        <v>0</v>
      </c>
      <c r="N696">
        <v>0</v>
      </c>
      <c r="O696" s="1">
        <v>45583.469259259262</v>
      </c>
      <c r="P696" t="s">
        <v>119</v>
      </c>
    </row>
    <row r="697" spans="1:16" x14ac:dyDescent="0.3">
      <c r="A697" t="s">
        <v>25</v>
      </c>
      <c r="B697" s="1">
        <v>45583.469259259262</v>
      </c>
      <c r="C697" t="str">
        <f t="shared" ref="C697:C703" si="141">"41"</f>
        <v>41</v>
      </c>
      <c r="D697" t="s">
        <v>120</v>
      </c>
      <c r="E697" t="s">
        <v>116</v>
      </c>
      <c r="F697" t="s">
        <v>117</v>
      </c>
      <c r="H697" t="s">
        <v>256</v>
      </c>
      <c r="I697" t="str">
        <f>"101050002022306"</f>
        <v>101050002022306</v>
      </c>
      <c r="J697" t="str">
        <f t="shared" ref="J697:J703" si="142">"515122"</f>
        <v>515122</v>
      </c>
      <c r="K697" t="s">
        <v>4</v>
      </c>
      <c r="L697">
        <v>49</v>
      </c>
      <c r="M697">
        <v>49</v>
      </c>
      <c r="N697">
        <v>0</v>
      </c>
      <c r="O697" s="1">
        <v>45583.469259259262</v>
      </c>
      <c r="P697" t="s">
        <v>119</v>
      </c>
    </row>
    <row r="698" spans="1:16" x14ac:dyDescent="0.3">
      <c r="A698" t="s">
        <v>25</v>
      </c>
      <c r="B698" s="1">
        <v>45583.469259259262</v>
      </c>
      <c r="C698" t="str">
        <f t="shared" si="141"/>
        <v>41</v>
      </c>
      <c r="D698" t="s">
        <v>120</v>
      </c>
      <c r="E698" t="s">
        <v>116</v>
      </c>
      <c r="F698" t="s">
        <v>117</v>
      </c>
      <c r="H698" t="s">
        <v>256</v>
      </c>
      <c r="I698" t="str">
        <f>"101050002022305"</f>
        <v>101050002022305</v>
      </c>
      <c r="J698" t="str">
        <f t="shared" si="142"/>
        <v>515122</v>
      </c>
      <c r="K698" t="s">
        <v>4</v>
      </c>
      <c r="L698">
        <v>49</v>
      </c>
      <c r="M698">
        <v>49</v>
      </c>
      <c r="N698">
        <v>0</v>
      </c>
      <c r="O698" s="1">
        <v>45583.469259259262</v>
      </c>
      <c r="P698" t="s">
        <v>119</v>
      </c>
    </row>
    <row r="699" spans="1:16" x14ac:dyDescent="0.3">
      <c r="A699" t="s">
        <v>25</v>
      </c>
      <c r="B699" s="1">
        <v>45583.469259259262</v>
      </c>
      <c r="C699" t="str">
        <f t="shared" si="141"/>
        <v>41</v>
      </c>
      <c r="D699" t="s">
        <v>120</v>
      </c>
      <c r="E699" t="s">
        <v>116</v>
      </c>
      <c r="F699" t="s">
        <v>117</v>
      </c>
      <c r="H699" t="s">
        <v>256</v>
      </c>
      <c r="I699" t="str">
        <f>"101050002022590"</f>
        <v>101050002022590</v>
      </c>
      <c r="J699" t="str">
        <f t="shared" si="142"/>
        <v>515122</v>
      </c>
      <c r="K699" t="s">
        <v>4</v>
      </c>
      <c r="L699">
        <v>49</v>
      </c>
      <c r="M699">
        <v>49</v>
      </c>
      <c r="N699">
        <v>0</v>
      </c>
      <c r="O699" s="1">
        <v>45583.469259259262</v>
      </c>
      <c r="P699" t="s">
        <v>119</v>
      </c>
    </row>
    <row r="700" spans="1:16" x14ac:dyDescent="0.3">
      <c r="A700" t="s">
        <v>25</v>
      </c>
      <c r="B700" s="1">
        <v>45583.469247685185</v>
      </c>
      <c r="C700" t="str">
        <f t="shared" si="141"/>
        <v>41</v>
      </c>
      <c r="D700" t="s">
        <v>120</v>
      </c>
      <c r="E700" t="s">
        <v>116</v>
      </c>
      <c r="F700" t="s">
        <v>117</v>
      </c>
      <c r="H700" t="s">
        <v>256</v>
      </c>
      <c r="I700" t="str">
        <f>"101050002022206"</f>
        <v>101050002022206</v>
      </c>
      <c r="J700" t="str">
        <f t="shared" si="142"/>
        <v>515122</v>
      </c>
      <c r="K700" t="s">
        <v>4</v>
      </c>
      <c r="L700">
        <v>49</v>
      </c>
      <c r="M700">
        <v>49</v>
      </c>
      <c r="N700">
        <v>0</v>
      </c>
      <c r="O700" s="1">
        <v>45583.469247685185</v>
      </c>
      <c r="P700" t="s">
        <v>119</v>
      </c>
    </row>
    <row r="701" spans="1:16" x14ac:dyDescent="0.3">
      <c r="A701" t="s">
        <v>25</v>
      </c>
      <c r="B701" s="1">
        <v>45583.469247685185</v>
      </c>
      <c r="C701" t="str">
        <f t="shared" si="141"/>
        <v>41</v>
      </c>
      <c r="D701" t="s">
        <v>120</v>
      </c>
      <c r="E701" t="s">
        <v>116</v>
      </c>
      <c r="F701" t="s">
        <v>117</v>
      </c>
      <c r="H701" t="s">
        <v>256</v>
      </c>
      <c r="I701" t="str">
        <f>"101050002022208"</f>
        <v>101050002022208</v>
      </c>
      <c r="J701" t="str">
        <f t="shared" si="142"/>
        <v>515122</v>
      </c>
      <c r="K701" t="s">
        <v>4</v>
      </c>
      <c r="L701">
        <v>49</v>
      </c>
      <c r="M701">
        <v>49</v>
      </c>
      <c r="N701">
        <v>0</v>
      </c>
      <c r="O701" s="1">
        <v>45583.469247685185</v>
      </c>
      <c r="P701" t="s">
        <v>119</v>
      </c>
    </row>
    <row r="702" spans="1:16" x14ac:dyDescent="0.3">
      <c r="A702" t="s">
        <v>25</v>
      </c>
      <c r="B702" s="1">
        <v>45583.469247685185</v>
      </c>
      <c r="C702" t="str">
        <f t="shared" si="141"/>
        <v>41</v>
      </c>
      <c r="D702" t="s">
        <v>120</v>
      </c>
      <c r="E702" t="s">
        <v>116</v>
      </c>
      <c r="F702" t="s">
        <v>117</v>
      </c>
      <c r="H702" t="s">
        <v>256</v>
      </c>
      <c r="I702" t="str">
        <f>"101050002022207"</f>
        <v>101050002022207</v>
      </c>
      <c r="J702" t="str">
        <f t="shared" si="142"/>
        <v>515122</v>
      </c>
      <c r="K702" t="s">
        <v>4</v>
      </c>
      <c r="L702">
        <v>49</v>
      </c>
      <c r="M702">
        <v>49</v>
      </c>
      <c r="N702">
        <v>0</v>
      </c>
      <c r="O702" s="1">
        <v>45583.469247685185</v>
      </c>
      <c r="P702" t="s">
        <v>119</v>
      </c>
    </row>
    <row r="703" spans="1:16" x14ac:dyDescent="0.3">
      <c r="A703" t="s">
        <v>25</v>
      </c>
      <c r="B703" s="1">
        <v>45583.469247685185</v>
      </c>
      <c r="C703" t="str">
        <f t="shared" si="141"/>
        <v>41</v>
      </c>
      <c r="D703" t="s">
        <v>120</v>
      </c>
      <c r="E703" t="s">
        <v>116</v>
      </c>
      <c r="F703" t="s">
        <v>117</v>
      </c>
      <c r="H703" t="s">
        <v>256</v>
      </c>
      <c r="I703" t="str">
        <f>"101050002022652"</f>
        <v>101050002022652</v>
      </c>
      <c r="J703" t="str">
        <f t="shared" si="142"/>
        <v>515122</v>
      </c>
      <c r="K703" t="s">
        <v>4</v>
      </c>
      <c r="L703">
        <v>49</v>
      </c>
      <c r="M703">
        <v>49</v>
      </c>
      <c r="N703">
        <v>0</v>
      </c>
      <c r="O703" s="1">
        <v>45583.469247685185</v>
      </c>
      <c r="P703" t="s">
        <v>119</v>
      </c>
    </row>
    <row r="704" spans="1:16" x14ac:dyDescent="0.3">
      <c r="A704" t="s">
        <v>25</v>
      </c>
      <c r="B704" s="1">
        <v>45583.468958333331</v>
      </c>
      <c r="C704" t="str">
        <f>"38"</f>
        <v>38</v>
      </c>
      <c r="D704" t="s">
        <v>115</v>
      </c>
      <c r="E704" t="s">
        <v>116</v>
      </c>
      <c r="F704" t="s">
        <v>117</v>
      </c>
      <c r="H704" t="s">
        <v>257</v>
      </c>
      <c r="L704">
        <v>0</v>
      </c>
      <c r="M704">
        <v>0</v>
      </c>
      <c r="N704">
        <v>0</v>
      </c>
      <c r="O704" s="1">
        <v>45583.468958333331</v>
      </c>
      <c r="P704" t="s">
        <v>138</v>
      </c>
    </row>
    <row r="705" spans="1:16" x14ac:dyDescent="0.3">
      <c r="A705" t="s">
        <v>25</v>
      </c>
      <c r="B705" s="1">
        <v>45583.468958333331</v>
      </c>
      <c r="C705" t="str">
        <f t="shared" ref="C705:C711" si="143">"41"</f>
        <v>41</v>
      </c>
      <c r="D705" t="s">
        <v>120</v>
      </c>
      <c r="E705" t="s">
        <v>116</v>
      </c>
      <c r="F705" t="s">
        <v>117</v>
      </c>
      <c r="H705" t="s">
        <v>257</v>
      </c>
      <c r="I705" t="str">
        <f>"101050002022843"</f>
        <v>101050002022843</v>
      </c>
      <c r="J705" t="str">
        <f t="shared" ref="J705:J711" si="144">"127577"</f>
        <v>127577</v>
      </c>
      <c r="K705" t="s">
        <v>62</v>
      </c>
      <c r="L705">
        <v>91</v>
      </c>
      <c r="M705">
        <v>91</v>
      </c>
      <c r="N705">
        <v>0</v>
      </c>
      <c r="O705" s="1">
        <v>45583.468958333331</v>
      </c>
      <c r="P705" t="s">
        <v>138</v>
      </c>
    </row>
    <row r="706" spans="1:16" x14ac:dyDescent="0.3">
      <c r="A706" t="s">
        <v>25</v>
      </c>
      <c r="B706" s="1">
        <v>45583.468958333331</v>
      </c>
      <c r="C706" t="str">
        <f t="shared" si="143"/>
        <v>41</v>
      </c>
      <c r="D706" t="s">
        <v>120</v>
      </c>
      <c r="E706" t="s">
        <v>116</v>
      </c>
      <c r="F706" t="s">
        <v>117</v>
      </c>
      <c r="H706" t="s">
        <v>257</v>
      </c>
      <c r="I706" t="str">
        <f>"101050002022995"</f>
        <v>101050002022995</v>
      </c>
      <c r="J706" t="str">
        <f t="shared" si="144"/>
        <v>127577</v>
      </c>
      <c r="K706" t="s">
        <v>62</v>
      </c>
      <c r="L706">
        <v>91</v>
      </c>
      <c r="M706">
        <v>91</v>
      </c>
      <c r="N706">
        <v>0</v>
      </c>
      <c r="O706" s="1">
        <v>45583.468958333331</v>
      </c>
      <c r="P706" t="s">
        <v>138</v>
      </c>
    </row>
    <row r="707" spans="1:16" x14ac:dyDescent="0.3">
      <c r="A707" t="s">
        <v>25</v>
      </c>
      <c r="B707" s="1">
        <v>45583.468958333331</v>
      </c>
      <c r="C707" t="str">
        <f t="shared" si="143"/>
        <v>41</v>
      </c>
      <c r="D707" t="s">
        <v>120</v>
      </c>
      <c r="E707" t="s">
        <v>116</v>
      </c>
      <c r="F707" t="s">
        <v>117</v>
      </c>
      <c r="H707" t="s">
        <v>257</v>
      </c>
      <c r="I707" t="str">
        <f>"101050002023194"</f>
        <v>101050002023194</v>
      </c>
      <c r="J707" t="str">
        <f t="shared" si="144"/>
        <v>127577</v>
      </c>
      <c r="K707" t="s">
        <v>62</v>
      </c>
      <c r="L707">
        <v>91</v>
      </c>
      <c r="M707">
        <v>91</v>
      </c>
      <c r="N707">
        <v>0</v>
      </c>
      <c r="O707" s="1">
        <v>45583.468958333331</v>
      </c>
      <c r="P707" t="s">
        <v>138</v>
      </c>
    </row>
    <row r="708" spans="1:16" x14ac:dyDescent="0.3">
      <c r="A708" t="s">
        <v>25</v>
      </c>
      <c r="B708" s="1">
        <v>45583.468946759262</v>
      </c>
      <c r="C708" t="str">
        <f t="shared" si="143"/>
        <v>41</v>
      </c>
      <c r="D708" t="s">
        <v>120</v>
      </c>
      <c r="E708" t="s">
        <v>116</v>
      </c>
      <c r="F708" t="s">
        <v>117</v>
      </c>
      <c r="H708" t="s">
        <v>257</v>
      </c>
      <c r="I708" t="str">
        <f>"101050002021615"</f>
        <v>101050002021615</v>
      </c>
      <c r="J708" t="str">
        <f t="shared" si="144"/>
        <v>127577</v>
      </c>
      <c r="K708" t="s">
        <v>62</v>
      </c>
      <c r="L708">
        <v>91</v>
      </c>
      <c r="M708">
        <v>91</v>
      </c>
      <c r="N708">
        <v>0</v>
      </c>
      <c r="O708" s="1">
        <v>45583.468946759262</v>
      </c>
      <c r="P708" t="s">
        <v>138</v>
      </c>
    </row>
    <row r="709" spans="1:16" x14ac:dyDescent="0.3">
      <c r="A709" t="s">
        <v>25</v>
      </c>
      <c r="B709" s="1">
        <v>45583.468946759262</v>
      </c>
      <c r="C709" t="str">
        <f t="shared" si="143"/>
        <v>41</v>
      </c>
      <c r="D709" t="s">
        <v>120</v>
      </c>
      <c r="E709" t="s">
        <v>116</v>
      </c>
      <c r="F709" t="s">
        <v>117</v>
      </c>
      <c r="H709" t="s">
        <v>257</v>
      </c>
      <c r="I709" t="str">
        <f>"101050002022335"</f>
        <v>101050002022335</v>
      </c>
      <c r="J709" t="str">
        <f t="shared" si="144"/>
        <v>127577</v>
      </c>
      <c r="K709" t="s">
        <v>62</v>
      </c>
      <c r="L709">
        <v>91</v>
      </c>
      <c r="M709">
        <v>91</v>
      </c>
      <c r="N709">
        <v>0</v>
      </c>
      <c r="O709" s="1">
        <v>45583.468946759262</v>
      </c>
      <c r="P709" t="s">
        <v>138</v>
      </c>
    </row>
    <row r="710" spans="1:16" x14ac:dyDescent="0.3">
      <c r="A710" t="s">
        <v>25</v>
      </c>
      <c r="B710" s="1">
        <v>45583.468946759262</v>
      </c>
      <c r="C710" t="str">
        <f t="shared" si="143"/>
        <v>41</v>
      </c>
      <c r="D710" t="s">
        <v>120</v>
      </c>
      <c r="E710" t="s">
        <v>116</v>
      </c>
      <c r="F710" t="s">
        <v>117</v>
      </c>
      <c r="H710" t="s">
        <v>257</v>
      </c>
      <c r="I710" t="str">
        <f>"101050002022259"</f>
        <v>101050002022259</v>
      </c>
      <c r="J710" t="str">
        <f t="shared" si="144"/>
        <v>127577</v>
      </c>
      <c r="K710" t="s">
        <v>62</v>
      </c>
      <c r="L710">
        <v>91</v>
      </c>
      <c r="M710">
        <v>91</v>
      </c>
      <c r="N710">
        <v>0</v>
      </c>
      <c r="O710" s="1">
        <v>45583.468946759262</v>
      </c>
      <c r="P710" t="s">
        <v>138</v>
      </c>
    </row>
    <row r="711" spans="1:16" x14ac:dyDescent="0.3">
      <c r="A711" t="s">
        <v>25</v>
      </c>
      <c r="B711" s="1">
        <v>45583.468946759262</v>
      </c>
      <c r="C711" t="str">
        <f t="shared" si="143"/>
        <v>41</v>
      </c>
      <c r="D711" t="s">
        <v>120</v>
      </c>
      <c r="E711" t="s">
        <v>116</v>
      </c>
      <c r="F711" t="s">
        <v>117</v>
      </c>
      <c r="H711" t="s">
        <v>257</v>
      </c>
      <c r="I711" t="str">
        <f>"101050002021613"</f>
        <v>101050002021613</v>
      </c>
      <c r="J711" t="str">
        <f t="shared" si="144"/>
        <v>127577</v>
      </c>
      <c r="K711" t="s">
        <v>62</v>
      </c>
      <c r="L711">
        <v>91</v>
      </c>
      <c r="M711">
        <v>91</v>
      </c>
      <c r="N711">
        <v>0</v>
      </c>
      <c r="O711" s="1">
        <v>45583.468946759262</v>
      </c>
      <c r="P711" t="s">
        <v>138</v>
      </c>
    </row>
    <row r="712" spans="1:16" x14ac:dyDescent="0.3">
      <c r="A712" t="s">
        <v>25</v>
      </c>
      <c r="B712" s="1">
        <v>45583.468946759262</v>
      </c>
      <c r="C712" t="str">
        <f>"38"</f>
        <v>38</v>
      </c>
      <c r="D712" t="s">
        <v>115</v>
      </c>
      <c r="E712" t="s">
        <v>116</v>
      </c>
      <c r="F712" t="s">
        <v>117</v>
      </c>
      <c r="H712" t="s">
        <v>258</v>
      </c>
      <c r="L712">
        <v>0</v>
      </c>
      <c r="M712">
        <v>0</v>
      </c>
      <c r="N712">
        <v>0</v>
      </c>
      <c r="O712" s="1">
        <v>45583.468946759262</v>
      </c>
      <c r="P712" t="s">
        <v>122</v>
      </c>
    </row>
    <row r="713" spans="1:16" x14ac:dyDescent="0.3">
      <c r="A713" t="s">
        <v>25</v>
      </c>
      <c r="B713" s="1">
        <v>45583.468946759262</v>
      </c>
      <c r="C713" t="str">
        <f t="shared" ref="C713:C719" si="145">"41"</f>
        <v>41</v>
      </c>
      <c r="D713" t="s">
        <v>120</v>
      </c>
      <c r="E713" t="s">
        <v>116</v>
      </c>
      <c r="F713" t="s">
        <v>117</v>
      </c>
      <c r="H713" t="s">
        <v>258</v>
      </c>
      <c r="I713" t="str">
        <f>"101050002025417"</f>
        <v>101050002025417</v>
      </c>
      <c r="J713" t="str">
        <f t="shared" ref="J713:J719" si="146">"127802"</f>
        <v>127802</v>
      </c>
      <c r="K713" t="s">
        <v>6</v>
      </c>
      <c r="L713">
        <v>91</v>
      </c>
      <c r="M713">
        <v>91</v>
      </c>
      <c r="N713">
        <v>0</v>
      </c>
      <c r="O713" s="1">
        <v>45583.468946759262</v>
      </c>
      <c r="P713" t="s">
        <v>122</v>
      </c>
    </row>
    <row r="714" spans="1:16" x14ac:dyDescent="0.3">
      <c r="A714" t="s">
        <v>25</v>
      </c>
      <c r="B714" s="1">
        <v>45583.468946759262</v>
      </c>
      <c r="C714" t="str">
        <f t="shared" si="145"/>
        <v>41</v>
      </c>
      <c r="D714" t="s">
        <v>120</v>
      </c>
      <c r="E714" t="s">
        <v>116</v>
      </c>
      <c r="F714" t="s">
        <v>117</v>
      </c>
      <c r="H714" t="s">
        <v>258</v>
      </c>
      <c r="I714" t="str">
        <f>"101050002025349"</f>
        <v>101050002025349</v>
      </c>
      <c r="J714" t="str">
        <f t="shared" si="146"/>
        <v>127802</v>
      </c>
      <c r="K714" t="s">
        <v>6</v>
      </c>
      <c r="L714">
        <v>91</v>
      </c>
      <c r="M714">
        <v>91</v>
      </c>
      <c r="N714">
        <v>0</v>
      </c>
      <c r="O714" s="1">
        <v>45583.468946759262</v>
      </c>
      <c r="P714" t="s">
        <v>122</v>
      </c>
    </row>
    <row r="715" spans="1:16" x14ac:dyDescent="0.3">
      <c r="A715" t="s">
        <v>25</v>
      </c>
      <c r="B715" s="1">
        <v>45583.468935185185</v>
      </c>
      <c r="C715" t="str">
        <f t="shared" si="145"/>
        <v>41</v>
      </c>
      <c r="D715" t="s">
        <v>120</v>
      </c>
      <c r="E715" t="s">
        <v>116</v>
      </c>
      <c r="F715" t="s">
        <v>117</v>
      </c>
      <c r="H715" t="s">
        <v>258</v>
      </c>
      <c r="I715" t="str">
        <f>"101050002016215"</f>
        <v>101050002016215</v>
      </c>
      <c r="J715" t="str">
        <f t="shared" si="146"/>
        <v>127802</v>
      </c>
      <c r="K715" t="s">
        <v>6</v>
      </c>
      <c r="L715">
        <v>91</v>
      </c>
      <c r="M715">
        <v>91</v>
      </c>
      <c r="N715">
        <v>0</v>
      </c>
      <c r="O715" s="1">
        <v>45583.468935185185</v>
      </c>
      <c r="P715" t="s">
        <v>122</v>
      </c>
    </row>
    <row r="716" spans="1:16" x14ac:dyDescent="0.3">
      <c r="A716" t="s">
        <v>25</v>
      </c>
      <c r="B716" s="1">
        <v>45583.468935185185</v>
      </c>
      <c r="C716" t="str">
        <f t="shared" si="145"/>
        <v>41</v>
      </c>
      <c r="D716" t="s">
        <v>120</v>
      </c>
      <c r="E716" t="s">
        <v>116</v>
      </c>
      <c r="F716" t="s">
        <v>117</v>
      </c>
      <c r="H716" t="s">
        <v>258</v>
      </c>
      <c r="I716" t="str">
        <f>"101050002026491"</f>
        <v>101050002026491</v>
      </c>
      <c r="J716" t="str">
        <f t="shared" si="146"/>
        <v>127802</v>
      </c>
      <c r="K716" t="s">
        <v>6</v>
      </c>
      <c r="L716">
        <v>91</v>
      </c>
      <c r="M716">
        <v>91</v>
      </c>
      <c r="N716">
        <v>0</v>
      </c>
      <c r="O716" s="1">
        <v>45583.468935185185</v>
      </c>
      <c r="P716" t="s">
        <v>122</v>
      </c>
    </row>
    <row r="717" spans="1:16" x14ac:dyDescent="0.3">
      <c r="A717" t="s">
        <v>25</v>
      </c>
      <c r="B717" s="1">
        <v>45583.468935185185</v>
      </c>
      <c r="C717" t="str">
        <f t="shared" si="145"/>
        <v>41</v>
      </c>
      <c r="D717" t="s">
        <v>120</v>
      </c>
      <c r="E717" t="s">
        <v>116</v>
      </c>
      <c r="F717" t="s">
        <v>117</v>
      </c>
      <c r="H717" t="s">
        <v>258</v>
      </c>
      <c r="I717" t="str">
        <f>"101050002025275"</f>
        <v>101050002025275</v>
      </c>
      <c r="J717" t="str">
        <f t="shared" si="146"/>
        <v>127802</v>
      </c>
      <c r="K717" t="s">
        <v>6</v>
      </c>
      <c r="L717">
        <v>91</v>
      </c>
      <c r="M717">
        <v>91</v>
      </c>
      <c r="N717">
        <v>0</v>
      </c>
      <c r="O717" s="1">
        <v>45583.468935185185</v>
      </c>
      <c r="P717" t="s">
        <v>122</v>
      </c>
    </row>
    <row r="718" spans="1:16" x14ac:dyDescent="0.3">
      <c r="A718" t="s">
        <v>25</v>
      </c>
      <c r="B718" s="1">
        <v>45583.468935185185</v>
      </c>
      <c r="C718" t="str">
        <f t="shared" si="145"/>
        <v>41</v>
      </c>
      <c r="D718" t="s">
        <v>120</v>
      </c>
      <c r="E718" t="s">
        <v>116</v>
      </c>
      <c r="F718" t="s">
        <v>117</v>
      </c>
      <c r="H718" t="s">
        <v>258</v>
      </c>
      <c r="I718" t="str">
        <f>"101050002020892"</f>
        <v>101050002020892</v>
      </c>
      <c r="J718" t="str">
        <f t="shared" si="146"/>
        <v>127802</v>
      </c>
      <c r="K718" t="s">
        <v>6</v>
      </c>
      <c r="L718">
        <v>91</v>
      </c>
      <c r="M718">
        <v>91</v>
      </c>
      <c r="N718">
        <v>0</v>
      </c>
      <c r="O718" s="1">
        <v>45583.468935185185</v>
      </c>
      <c r="P718" t="s">
        <v>122</v>
      </c>
    </row>
    <row r="719" spans="1:16" x14ac:dyDescent="0.3">
      <c r="A719" t="s">
        <v>25</v>
      </c>
      <c r="B719" s="1">
        <v>45583.468935185185</v>
      </c>
      <c r="C719" t="str">
        <f t="shared" si="145"/>
        <v>41</v>
      </c>
      <c r="D719" t="s">
        <v>120</v>
      </c>
      <c r="E719" t="s">
        <v>116</v>
      </c>
      <c r="F719" t="s">
        <v>117</v>
      </c>
      <c r="H719" t="s">
        <v>258</v>
      </c>
      <c r="I719" t="str">
        <f>"101050002020481"</f>
        <v>101050002020481</v>
      </c>
      <c r="J719" t="str">
        <f t="shared" si="146"/>
        <v>127802</v>
      </c>
      <c r="K719" t="s">
        <v>6</v>
      </c>
      <c r="L719">
        <v>91</v>
      </c>
      <c r="M719">
        <v>91</v>
      </c>
      <c r="N719">
        <v>0</v>
      </c>
      <c r="O719" s="1">
        <v>45583.468935185185</v>
      </c>
      <c r="P719" t="s">
        <v>122</v>
      </c>
    </row>
    <row r="720" spans="1:16" x14ac:dyDescent="0.3">
      <c r="A720" t="s">
        <v>25</v>
      </c>
      <c r="B720" s="1">
        <v>45583.468171296299</v>
      </c>
      <c r="C720" t="str">
        <f>"38"</f>
        <v>38</v>
      </c>
      <c r="D720" t="s">
        <v>115</v>
      </c>
      <c r="E720" t="s">
        <v>116</v>
      </c>
      <c r="F720" t="s">
        <v>117</v>
      </c>
      <c r="H720" t="s">
        <v>259</v>
      </c>
      <c r="L720">
        <v>0</v>
      </c>
      <c r="M720">
        <v>0</v>
      </c>
      <c r="N720">
        <v>0</v>
      </c>
      <c r="O720" s="1">
        <v>45583.468171296299</v>
      </c>
      <c r="P720" t="s">
        <v>125</v>
      </c>
    </row>
    <row r="721" spans="1:16" x14ac:dyDescent="0.3">
      <c r="A721" t="s">
        <v>25</v>
      </c>
      <c r="B721" s="1">
        <v>45583.467800925922</v>
      </c>
      <c r="C721" t="str">
        <f>"38"</f>
        <v>38</v>
      </c>
      <c r="D721" t="s">
        <v>115</v>
      </c>
      <c r="E721" t="s">
        <v>116</v>
      </c>
      <c r="F721" t="s">
        <v>117</v>
      </c>
      <c r="H721" t="s">
        <v>260</v>
      </c>
      <c r="L721">
        <v>0</v>
      </c>
      <c r="M721">
        <v>0</v>
      </c>
      <c r="N721">
        <v>0</v>
      </c>
      <c r="O721" s="1">
        <v>45583.467800925922</v>
      </c>
      <c r="P721" t="s">
        <v>125</v>
      </c>
    </row>
    <row r="722" spans="1:16" x14ac:dyDescent="0.3">
      <c r="A722" t="s">
        <v>25</v>
      </c>
      <c r="B722" s="1">
        <v>45583.467164351852</v>
      </c>
      <c r="C722" t="str">
        <f>"38"</f>
        <v>38</v>
      </c>
      <c r="D722" t="s">
        <v>115</v>
      </c>
      <c r="E722" t="s">
        <v>116</v>
      </c>
      <c r="F722" t="s">
        <v>117</v>
      </c>
      <c r="H722" t="s">
        <v>261</v>
      </c>
      <c r="L722">
        <v>0</v>
      </c>
      <c r="M722">
        <v>0</v>
      </c>
      <c r="N722">
        <v>0</v>
      </c>
      <c r="O722" s="1">
        <v>45583.467164351852</v>
      </c>
      <c r="P722" t="s">
        <v>125</v>
      </c>
    </row>
    <row r="723" spans="1:16" x14ac:dyDescent="0.3">
      <c r="A723" t="s">
        <v>25</v>
      </c>
      <c r="B723" s="1">
        <v>45583.467083333337</v>
      </c>
      <c r="C723" t="str">
        <f>"38"</f>
        <v>38</v>
      </c>
      <c r="D723" t="s">
        <v>115</v>
      </c>
      <c r="E723" t="s">
        <v>116</v>
      </c>
      <c r="F723" t="s">
        <v>117</v>
      </c>
      <c r="H723" t="s">
        <v>262</v>
      </c>
      <c r="L723">
        <v>0</v>
      </c>
      <c r="M723">
        <v>0</v>
      </c>
      <c r="N723">
        <v>0</v>
      </c>
      <c r="O723" s="1">
        <v>45583.467083333337</v>
      </c>
      <c r="P723" t="s">
        <v>125</v>
      </c>
    </row>
    <row r="724" spans="1:16" x14ac:dyDescent="0.3">
      <c r="A724" t="s">
        <v>25</v>
      </c>
      <c r="B724" s="1">
        <v>45583.465775462966</v>
      </c>
      <c r="C724" t="str">
        <f>"38"</f>
        <v>38</v>
      </c>
      <c r="D724" t="s">
        <v>115</v>
      </c>
      <c r="E724" t="s">
        <v>116</v>
      </c>
      <c r="F724" t="s">
        <v>117</v>
      </c>
      <c r="H724" t="s">
        <v>263</v>
      </c>
      <c r="L724">
        <v>0</v>
      </c>
      <c r="M724">
        <v>0</v>
      </c>
      <c r="N724">
        <v>0</v>
      </c>
      <c r="O724" s="1">
        <v>45583.465775462966</v>
      </c>
      <c r="P724" t="s">
        <v>119</v>
      </c>
    </row>
    <row r="725" spans="1:16" x14ac:dyDescent="0.3">
      <c r="A725" t="s">
        <v>25</v>
      </c>
      <c r="B725" s="1">
        <v>45583.465775462966</v>
      </c>
      <c r="C725" t="str">
        <f t="shared" ref="C725:C731" si="147">"41"</f>
        <v>41</v>
      </c>
      <c r="D725" t="s">
        <v>120</v>
      </c>
      <c r="E725" t="s">
        <v>116</v>
      </c>
      <c r="F725" t="s">
        <v>117</v>
      </c>
      <c r="H725" t="s">
        <v>263</v>
      </c>
      <c r="I725" t="str">
        <f>"101050002021256"</f>
        <v>101050002021256</v>
      </c>
      <c r="J725" t="str">
        <f t="shared" ref="J725:J731" si="148">"127802"</f>
        <v>127802</v>
      </c>
      <c r="K725" t="s">
        <v>6</v>
      </c>
      <c r="L725">
        <v>91</v>
      </c>
      <c r="M725">
        <v>91</v>
      </c>
      <c r="N725">
        <v>0</v>
      </c>
      <c r="O725" s="1">
        <v>45583.465775462966</v>
      </c>
      <c r="P725" t="s">
        <v>119</v>
      </c>
    </row>
    <row r="726" spans="1:16" x14ac:dyDescent="0.3">
      <c r="A726" t="s">
        <v>25</v>
      </c>
      <c r="B726" s="1">
        <v>45583.465775462966</v>
      </c>
      <c r="C726" t="str">
        <f t="shared" si="147"/>
        <v>41</v>
      </c>
      <c r="D726" t="s">
        <v>120</v>
      </c>
      <c r="E726" t="s">
        <v>116</v>
      </c>
      <c r="F726" t="s">
        <v>117</v>
      </c>
      <c r="H726" t="s">
        <v>263</v>
      </c>
      <c r="I726" t="str">
        <f>"101050002021259"</f>
        <v>101050002021259</v>
      </c>
      <c r="J726" t="str">
        <f t="shared" si="148"/>
        <v>127802</v>
      </c>
      <c r="K726" t="s">
        <v>6</v>
      </c>
      <c r="L726">
        <v>91</v>
      </c>
      <c r="M726">
        <v>91</v>
      </c>
      <c r="N726">
        <v>0</v>
      </c>
      <c r="O726" s="1">
        <v>45583.465775462966</v>
      </c>
      <c r="P726" t="s">
        <v>119</v>
      </c>
    </row>
    <row r="727" spans="1:16" x14ac:dyDescent="0.3">
      <c r="A727" t="s">
        <v>25</v>
      </c>
      <c r="B727" s="1">
        <v>45583.465775462966</v>
      </c>
      <c r="C727" t="str">
        <f t="shared" si="147"/>
        <v>41</v>
      </c>
      <c r="D727" t="s">
        <v>120</v>
      </c>
      <c r="E727" t="s">
        <v>116</v>
      </c>
      <c r="F727" t="s">
        <v>117</v>
      </c>
      <c r="H727" t="s">
        <v>263</v>
      </c>
      <c r="I727" t="str">
        <f>"101050002021244"</f>
        <v>101050002021244</v>
      </c>
      <c r="J727" t="str">
        <f t="shared" si="148"/>
        <v>127802</v>
      </c>
      <c r="K727" t="s">
        <v>6</v>
      </c>
      <c r="L727">
        <v>91</v>
      </c>
      <c r="M727">
        <v>91</v>
      </c>
      <c r="N727">
        <v>0</v>
      </c>
      <c r="O727" s="1">
        <v>45583.465775462966</v>
      </c>
      <c r="P727" t="s">
        <v>119</v>
      </c>
    </row>
    <row r="728" spans="1:16" x14ac:dyDescent="0.3">
      <c r="A728" t="s">
        <v>25</v>
      </c>
      <c r="B728" s="1">
        <v>45583.465775462966</v>
      </c>
      <c r="C728" t="str">
        <f t="shared" si="147"/>
        <v>41</v>
      </c>
      <c r="D728" t="s">
        <v>120</v>
      </c>
      <c r="E728" t="s">
        <v>116</v>
      </c>
      <c r="F728" t="s">
        <v>117</v>
      </c>
      <c r="H728" t="s">
        <v>263</v>
      </c>
      <c r="I728" t="str">
        <f>"101050002021257"</f>
        <v>101050002021257</v>
      </c>
      <c r="J728" t="str">
        <f t="shared" si="148"/>
        <v>127802</v>
      </c>
      <c r="K728" t="s">
        <v>6</v>
      </c>
      <c r="L728">
        <v>91</v>
      </c>
      <c r="M728">
        <v>91</v>
      </c>
      <c r="N728">
        <v>0</v>
      </c>
      <c r="O728" s="1">
        <v>45583.465775462966</v>
      </c>
      <c r="P728" t="s">
        <v>119</v>
      </c>
    </row>
    <row r="729" spans="1:16" x14ac:dyDescent="0.3">
      <c r="A729" t="s">
        <v>25</v>
      </c>
      <c r="B729" s="1">
        <v>45583.465775462966</v>
      </c>
      <c r="C729" t="str">
        <f t="shared" si="147"/>
        <v>41</v>
      </c>
      <c r="D729" t="s">
        <v>120</v>
      </c>
      <c r="E729" t="s">
        <v>116</v>
      </c>
      <c r="F729" t="s">
        <v>117</v>
      </c>
      <c r="H729" t="s">
        <v>263</v>
      </c>
      <c r="I729" t="str">
        <f>"101050002021243"</f>
        <v>101050002021243</v>
      </c>
      <c r="J729" t="str">
        <f t="shared" si="148"/>
        <v>127802</v>
      </c>
      <c r="K729" t="s">
        <v>6</v>
      </c>
      <c r="L729">
        <v>91</v>
      </c>
      <c r="M729">
        <v>91</v>
      </c>
      <c r="N729">
        <v>0</v>
      </c>
      <c r="O729" s="1">
        <v>45583.465775462966</v>
      </c>
      <c r="P729" t="s">
        <v>119</v>
      </c>
    </row>
    <row r="730" spans="1:16" x14ac:dyDescent="0.3">
      <c r="A730" t="s">
        <v>25</v>
      </c>
      <c r="B730" s="1">
        <v>45583.465763888889</v>
      </c>
      <c r="C730" t="str">
        <f t="shared" si="147"/>
        <v>41</v>
      </c>
      <c r="D730" t="s">
        <v>120</v>
      </c>
      <c r="E730" t="s">
        <v>116</v>
      </c>
      <c r="F730" t="s">
        <v>117</v>
      </c>
      <c r="H730" t="s">
        <v>263</v>
      </c>
      <c r="I730" t="str">
        <f>"101050002021264"</f>
        <v>101050002021264</v>
      </c>
      <c r="J730" t="str">
        <f t="shared" si="148"/>
        <v>127802</v>
      </c>
      <c r="K730" t="s">
        <v>6</v>
      </c>
      <c r="L730">
        <v>91</v>
      </c>
      <c r="M730">
        <v>91</v>
      </c>
      <c r="N730">
        <v>0</v>
      </c>
      <c r="O730" s="1">
        <v>45583.465763888889</v>
      </c>
      <c r="P730" t="s">
        <v>119</v>
      </c>
    </row>
    <row r="731" spans="1:16" x14ac:dyDescent="0.3">
      <c r="A731" t="s">
        <v>25</v>
      </c>
      <c r="B731" s="1">
        <v>45583.465763888889</v>
      </c>
      <c r="C731" t="str">
        <f t="shared" si="147"/>
        <v>41</v>
      </c>
      <c r="D731" t="s">
        <v>120</v>
      </c>
      <c r="E731" t="s">
        <v>116</v>
      </c>
      <c r="F731" t="s">
        <v>117</v>
      </c>
      <c r="H731" t="s">
        <v>263</v>
      </c>
      <c r="I731" t="str">
        <f>"101050002021263"</f>
        <v>101050002021263</v>
      </c>
      <c r="J731" t="str">
        <f t="shared" si="148"/>
        <v>127802</v>
      </c>
      <c r="K731" t="s">
        <v>6</v>
      </c>
      <c r="L731">
        <v>91</v>
      </c>
      <c r="M731">
        <v>91</v>
      </c>
      <c r="N731">
        <v>0</v>
      </c>
      <c r="O731" s="1">
        <v>45583.465763888889</v>
      </c>
      <c r="P731" t="s">
        <v>119</v>
      </c>
    </row>
    <row r="732" spans="1:16" x14ac:dyDescent="0.3">
      <c r="A732" t="s">
        <v>25</v>
      </c>
      <c r="B732" s="1">
        <v>45583.466192129628</v>
      </c>
      <c r="C732" t="str">
        <f>"38"</f>
        <v>38</v>
      </c>
      <c r="D732" t="s">
        <v>115</v>
      </c>
      <c r="E732" t="s">
        <v>116</v>
      </c>
      <c r="F732" t="s">
        <v>117</v>
      </c>
      <c r="H732" t="s">
        <v>264</v>
      </c>
      <c r="L732">
        <v>0</v>
      </c>
      <c r="M732">
        <v>0</v>
      </c>
      <c r="N732">
        <v>0</v>
      </c>
      <c r="O732" s="1">
        <v>45583.466192129628</v>
      </c>
      <c r="P732" t="s">
        <v>138</v>
      </c>
    </row>
    <row r="733" spans="1:16" x14ac:dyDescent="0.3">
      <c r="A733" t="s">
        <v>25</v>
      </c>
      <c r="B733" s="1">
        <v>45583.466192129628</v>
      </c>
      <c r="C733" t="str">
        <f t="shared" ref="C733:C739" si="149">"41"</f>
        <v>41</v>
      </c>
      <c r="D733" t="s">
        <v>120</v>
      </c>
      <c r="E733" t="s">
        <v>116</v>
      </c>
      <c r="F733" t="s">
        <v>117</v>
      </c>
      <c r="H733" t="s">
        <v>264</v>
      </c>
      <c r="I733" t="str">
        <f>"101050002015819"</f>
        <v>101050002015819</v>
      </c>
      <c r="J733" t="str">
        <f t="shared" ref="J733:J739" si="150">"127802"</f>
        <v>127802</v>
      </c>
      <c r="K733" t="s">
        <v>6</v>
      </c>
      <c r="L733">
        <v>91</v>
      </c>
      <c r="M733">
        <v>91</v>
      </c>
      <c r="N733">
        <v>0</v>
      </c>
      <c r="O733" s="1">
        <v>45583.466192129628</v>
      </c>
      <c r="P733" t="s">
        <v>138</v>
      </c>
    </row>
    <row r="734" spans="1:16" x14ac:dyDescent="0.3">
      <c r="A734" t="s">
        <v>25</v>
      </c>
      <c r="B734" s="1">
        <v>45583.466192129628</v>
      </c>
      <c r="C734" t="str">
        <f t="shared" si="149"/>
        <v>41</v>
      </c>
      <c r="D734" t="s">
        <v>120</v>
      </c>
      <c r="E734" t="s">
        <v>116</v>
      </c>
      <c r="F734" t="s">
        <v>117</v>
      </c>
      <c r="H734" t="s">
        <v>264</v>
      </c>
      <c r="I734" t="str">
        <f>"101050002025253"</f>
        <v>101050002025253</v>
      </c>
      <c r="J734" t="str">
        <f t="shared" si="150"/>
        <v>127802</v>
      </c>
      <c r="K734" t="s">
        <v>6</v>
      </c>
      <c r="L734">
        <v>91</v>
      </c>
      <c r="M734">
        <v>91</v>
      </c>
      <c r="N734">
        <v>0</v>
      </c>
      <c r="O734" s="1">
        <v>45583.466192129628</v>
      </c>
      <c r="P734" t="s">
        <v>138</v>
      </c>
    </row>
    <row r="735" spans="1:16" x14ac:dyDescent="0.3">
      <c r="A735" t="s">
        <v>25</v>
      </c>
      <c r="B735" s="1">
        <v>45583.466180555559</v>
      </c>
      <c r="C735" t="str">
        <f t="shared" si="149"/>
        <v>41</v>
      </c>
      <c r="D735" t="s">
        <v>120</v>
      </c>
      <c r="E735" t="s">
        <v>116</v>
      </c>
      <c r="F735" t="s">
        <v>117</v>
      </c>
      <c r="H735" t="s">
        <v>264</v>
      </c>
      <c r="I735" t="str">
        <f>"101050002025252"</f>
        <v>101050002025252</v>
      </c>
      <c r="J735" t="str">
        <f t="shared" si="150"/>
        <v>127802</v>
      </c>
      <c r="K735" t="s">
        <v>6</v>
      </c>
      <c r="L735">
        <v>91</v>
      </c>
      <c r="M735">
        <v>91</v>
      </c>
      <c r="N735">
        <v>0</v>
      </c>
      <c r="O735" s="1">
        <v>45583.466180555559</v>
      </c>
      <c r="P735" t="s">
        <v>138</v>
      </c>
    </row>
    <row r="736" spans="1:16" x14ac:dyDescent="0.3">
      <c r="A736" t="s">
        <v>25</v>
      </c>
      <c r="B736" s="1">
        <v>45583.466180555559</v>
      </c>
      <c r="C736" t="str">
        <f t="shared" si="149"/>
        <v>41</v>
      </c>
      <c r="D736" t="s">
        <v>120</v>
      </c>
      <c r="E736" t="s">
        <v>116</v>
      </c>
      <c r="F736" t="s">
        <v>117</v>
      </c>
      <c r="H736" t="s">
        <v>264</v>
      </c>
      <c r="I736" t="str">
        <f>"101050002024852"</f>
        <v>101050002024852</v>
      </c>
      <c r="J736" t="str">
        <f t="shared" si="150"/>
        <v>127802</v>
      </c>
      <c r="K736" t="s">
        <v>6</v>
      </c>
      <c r="L736">
        <v>91</v>
      </c>
      <c r="M736">
        <v>91</v>
      </c>
      <c r="N736">
        <v>0</v>
      </c>
      <c r="O736" s="1">
        <v>45583.466180555559</v>
      </c>
      <c r="P736" t="s">
        <v>138</v>
      </c>
    </row>
    <row r="737" spans="1:16" x14ac:dyDescent="0.3">
      <c r="A737" t="s">
        <v>25</v>
      </c>
      <c r="B737" s="1">
        <v>45583.466180555559</v>
      </c>
      <c r="C737" t="str">
        <f t="shared" si="149"/>
        <v>41</v>
      </c>
      <c r="D737" t="s">
        <v>120</v>
      </c>
      <c r="E737" t="s">
        <v>116</v>
      </c>
      <c r="F737" t="s">
        <v>117</v>
      </c>
      <c r="H737" t="s">
        <v>264</v>
      </c>
      <c r="I737" t="str">
        <f>"101050002024850"</f>
        <v>101050002024850</v>
      </c>
      <c r="J737" t="str">
        <f t="shared" si="150"/>
        <v>127802</v>
      </c>
      <c r="K737" t="s">
        <v>6</v>
      </c>
      <c r="L737">
        <v>91</v>
      </c>
      <c r="M737">
        <v>91</v>
      </c>
      <c r="N737">
        <v>0</v>
      </c>
      <c r="O737" s="1">
        <v>45583.466180555559</v>
      </c>
      <c r="P737" t="s">
        <v>138</v>
      </c>
    </row>
    <row r="738" spans="1:16" x14ac:dyDescent="0.3">
      <c r="A738" t="s">
        <v>25</v>
      </c>
      <c r="B738" s="1">
        <v>45583.466180555559</v>
      </c>
      <c r="C738" t="str">
        <f t="shared" si="149"/>
        <v>41</v>
      </c>
      <c r="D738" t="s">
        <v>120</v>
      </c>
      <c r="E738" t="s">
        <v>116</v>
      </c>
      <c r="F738" t="s">
        <v>117</v>
      </c>
      <c r="H738" t="s">
        <v>264</v>
      </c>
      <c r="I738" t="str">
        <f>"101050002021322"</f>
        <v>101050002021322</v>
      </c>
      <c r="J738" t="str">
        <f t="shared" si="150"/>
        <v>127802</v>
      </c>
      <c r="K738" t="s">
        <v>6</v>
      </c>
      <c r="L738">
        <v>91</v>
      </c>
      <c r="M738">
        <v>91</v>
      </c>
      <c r="N738">
        <v>0</v>
      </c>
      <c r="O738" s="1">
        <v>45583.466180555559</v>
      </c>
      <c r="P738" t="s">
        <v>138</v>
      </c>
    </row>
    <row r="739" spans="1:16" x14ac:dyDescent="0.3">
      <c r="A739" t="s">
        <v>25</v>
      </c>
      <c r="B739" s="1">
        <v>45583.466180555559</v>
      </c>
      <c r="C739" t="str">
        <f t="shared" si="149"/>
        <v>41</v>
      </c>
      <c r="D739" t="s">
        <v>120</v>
      </c>
      <c r="E739" t="s">
        <v>116</v>
      </c>
      <c r="F739" t="s">
        <v>117</v>
      </c>
      <c r="H739" t="s">
        <v>264</v>
      </c>
      <c r="I739" t="str">
        <f>"101050002021308"</f>
        <v>101050002021308</v>
      </c>
      <c r="J739" t="str">
        <f t="shared" si="150"/>
        <v>127802</v>
      </c>
      <c r="K739" t="s">
        <v>6</v>
      </c>
      <c r="L739">
        <v>91</v>
      </c>
      <c r="M739">
        <v>91</v>
      </c>
      <c r="N739">
        <v>0</v>
      </c>
      <c r="O739" s="1">
        <v>45583.466180555559</v>
      </c>
      <c r="P739" t="s">
        <v>138</v>
      </c>
    </row>
    <row r="740" spans="1:16" x14ac:dyDescent="0.3">
      <c r="A740" t="s">
        <v>25</v>
      </c>
      <c r="B740" s="1">
        <v>45583.464259259257</v>
      </c>
      <c r="C740" t="str">
        <f>"38"</f>
        <v>38</v>
      </c>
      <c r="D740" t="s">
        <v>115</v>
      </c>
      <c r="E740" t="s">
        <v>116</v>
      </c>
      <c r="F740" t="s">
        <v>117</v>
      </c>
      <c r="H740" t="s">
        <v>265</v>
      </c>
      <c r="L740">
        <v>0</v>
      </c>
      <c r="M740">
        <v>0</v>
      </c>
      <c r="N740">
        <v>0</v>
      </c>
      <c r="O740" s="1">
        <v>45583.464259259257</v>
      </c>
      <c r="P740" t="s">
        <v>119</v>
      </c>
    </row>
    <row r="741" spans="1:16" x14ac:dyDescent="0.3">
      <c r="A741" t="s">
        <v>25</v>
      </c>
      <c r="B741" s="1">
        <v>45583.464259259257</v>
      </c>
      <c r="C741" t="str">
        <f t="shared" ref="C741:C747" si="151">"41"</f>
        <v>41</v>
      </c>
      <c r="D741" t="s">
        <v>120</v>
      </c>
      <c r="E741" t="s">
        <v>116</v>
      </c>
      <c r="F741" t="s">
        <v>117</v>
      </c>
      <c r="H741" t="s">
        <v>265</v>
      </c>
      <c r="I741" t="str">
        <f>"101050002023000"</f>
        <v>101050002023000</v>
      </c>
      <c r="J741" t="str">
        <f t="shared" ref="J741:J747" si="152">"515122"</f>
        <v>515122</v>
      </c>
      <c r="K741" t="s">
        <v>4</v>
      </c>
      <c r="L741">
        <v>49</v>
      </c>
      <c r="M741">
        <v>49</v>
      </c>
      <c r="N741">
        <v>0</v>
      </c>
      <c r="O741" s="1">
        <v>45583.464259259257</v>
      </c>
      <c r="P741" t="s">
        <v>119</v>
      </c>
    </row>
    <row r="742" spans="1:16" x14ac:dyDescent="0.3">
      <c r="A742" t="s">
        <v>25</v>
      </c>
      <c r="B742" s="1">
        <v>45583.464259259257</v>
      </c>
      <c r="C742" t="str">
        <f t="shared" si="151"/>
        <v>41</v>
      </c>
      <c r="D742" t="s">
        <v>120</v>
      </c>
      <c r="E742" t="s">
        <v>116</v>
      </c>
      <c r="F742" t="s">
        <v>117</v>
      </c>
      <c r="H742" t="s">
        <v>265</v>
      </c>
      <c r="I742" t="str">
        <f>"101050002022997"</f>
        <v>101050002022997</v>
      </c>
      <c r="J742" t="str">
        <f t="shared" si="152"/>
        <v>515122</v>
      </c>
      <c r="K742" t="s">
        <v>4</v>
      </c>
      <c r="L742">
        <v>49</v>
      </c>
      <c r="M742">
        <v>49</v>
      </c>
      <c r="N742">
        <v>0</v>
      </c>
      <c r="O742" s="1">
        <v>45583.464259259257</v>
      </c>
      <c r="P742" t="s">
        <v>119</v>
      </c>
    </row>
    <row r="743" spans="1:16" x14ac:dyDescent="0.3">
      <c r="A743" t="s">
        <v>25</v>
      </c>
      <c r="B743" s="1">
        <v>45583.464259259257</v>
      </c>
      <c r="C743" t="str">
        <f t="shared" si="151"/>
        <v>41</v>
      </c>
      <c r="D743" t="s">
        <v>120</v>
      </c>
      <c r="E743" t="s">
        <v>116</v>
      </c>
      <c r="F743" t="s">
        <v>117</v>
      </c>
      <c r="H743" t="s">
        <v>265</v>
      </c>
      <c r="I743" t="str">
        <f>"101050002022205"</f>
        <v>101050002022205</v>
      </c>
      <c r="J743" t="str">
        <f t="shared" si="152"/>
        <v>515122</v>
      </c>
      <c r="K743" t="s">
        <v>4</v>
      </c>
      <c r="L743">
        <v>49</v>
      </c>
      <c r="M743">
        <v>49</v>
      </c>
      <c r="N743">
        <v>0</v>
      </c>
      <c r="O743" s="1">
        <v>45583.464259259257</v>
      </c>
      <c r="P743" t="s">
        <v>119</v>
      </c>
    </row>
    <row r="744" spans="1:16" x14ac:dyDescent="0.3">
      <c r="A744" t="s">
        <v>25</v>
      </c>
      <c r="B744" s="1">
        <v>45583.464259259257</v>
      </c>
      <c r="C744" t="str">
        <f t="shared" si="151"/>
        <v>41</v>
      </c>
      <c r="D744" t="s">
        <v>120</v>
      </c>
      <c r="E744" t="s">
        <v>116</v>
      </c>
      <c r="F744" t="s">
        <v>117</v>
      </c>
      <c r="H744" t="s">
        <v>265</v>
      </c>
      <c r="I744" t="str">
        <f>"101050002022165"</f>
        <v>101050002022165</v>
      </c>
      <c r="J744" t="str">
        <f t="shared" si="152"/>
        <v>515122</v>
      </c>
      <c r="K744" t="s">
        <v>4</v>
      </c>
      <c r="L744">
        <v>49</v>
      </c>
      <c r="M744">
        <v>49</v>
      </c>
      <c r="N744">
        <v>0</v>
      </c>
      <c r="O744" s="1">
        <v>45583.464259259257</v>
      </c>
      <c r="P744" t="s">
        <v>119</v>
      </c>
    </row>
    <row r="745" spans="1:16" x14ac:dyDescent="0.3">
      <c r="A745" t="s">
        <v>25</v>
      </c>
      <c r="B745" s="1">
        <v>45583.464247685188</v>
      </c>
      <c r="C745" t="str">
        <f t="shared" si="151"/>
        <v>41</v>
      </c>
      <c r="D745" t="s">
        <v>120</v>
      </c>
      <c r="E745" t="s">
        <v>116</v>
      </c>
      <c r="F745" t="s">
        <v>117</v>
      </c>
      <c r="H745" t="s">
        <v>265</v>
      </c>
      <c r="I745" t="str">
        <f>"101050002022301"</f>
        <v>101050002022301</v>
      </c>
      <c r="J745" t="str">
        <f t="shared" si="152"/>
        <v>515122</v>
      </c>
      <c r="K745" t="s">
        <v>4</v>
      </c>
      <c r="L745">
        <v>49</v>
      </c>
      <c r="M745">
        <v>49</v>
      </c>
      <c r="N745">
        <v>0</v>
      </c>
      <c r="O745" s="1">
        <v>45583.464247685188</v>
      </c>
      <c r="P745" t="s">
        <v>119</v>
      </c>
    </row>
    <row r="746" spans="1:16" x14ac:dyDescent="0.3">
      <c r="A746" t="s">
        <v>25</v>
      </c>
      <c r="B746" s="1">
        <v>45583.464247685188</v>
      </c>
      <c r="C746" t="str">
        <f t="shared" si="151"/>
        <v>41</v>
      </c>
      <c r="D746" t="s">
        <v>120</v>
      </c>
      <c r="E746" t="s">
        <v>116</v>
      </c>
      <c r="F746" t="s">
        <v>117</v>
      </c>
      <c r="H746" t="s">
        <v>265</v>
      </c>
      <c r="I746" t="str">
        <f>"101050002021641"</f>
        <v>101050002021641</v>
      </c>
      <c r="J746" t="str">
        <f t="shared" si="152"/>
        <v>515122</v>
      </c>
      <c r="K746" t="s">
        <v>4</v>
      </c>
      <c r="L746">
        <v>49</v>
      </c>
      <c r="M746">
        <v>49</v>
      </c>
      <c r="N746">
        <v>0</v>
      </c>
      <c r="O746" s="1">
        <v>45583.464247685188</v>
      </c>
      <c r="P746" t="s">
        <v>119</v>
      </c>
    </row>
    <row r="747" spans="1:16" x14ac:dyDescent="0.3">
      <c r="A747" t="s">
        <v>25</v>
      </c>
      <c r="B747" s="1">
        <v>45583.464247685188</v>
      </c>
      <c r="C747" t="str">
        <f t="shared" si="151"/>
        <v>41</v>
      </c>
      <c r="D747" t="s">
        <v>120</v>
      </c>
      <c r="E747" t="s">
        <v>116</v>
      </c>
      <c r="F747" t="s">
        <v>117</v>
      </c>
      <c r="H747" t="s">
        <v>265</v>
      </c>
      <c r="I747" t="str">
        <f>"101050002020285"</f>
        <v>101050002020285</v>
      </c>
      <c r="J747" t="str">
        <f t="shared" si="152"/>
        <v>515122</v>
      </c>
      <c r="K747" t="s">
        <v>4</v>
      </c>
      <c r="L747">
        <v>49</v>
      </c>
      <c r="M747">
        <v>49</v>
      </c>
      <c r="N747">
        <v>0</v>
      </c>
      <c r="O747" s="1">
        <v>45583.464247685188</v>
      </c>
      <c r="P747" t="s">
        <v>119</v>
      </c>
    </row>
    <row r="748" spans="1:16" x14ac:dyDescent="0.3">
      <c r="A748" t="s">
        <v>25</v>
      </c>
      <c r="B748" s="1">
        <v>45583.461446759262</v>
      </c>
      <c r="C748" t="str">
        <f>"38"</f>
        <v>38</v>
      </c>
      <c r="D748" t="s">
        <v>115</v>
      </c>
      <c r="E748" t="s">
        <v>116</v>
      </c>
      <c r="F748" t="s">
        <v>117</v>
      </c>
      <c r="H748" t="s">
        <v>266</v>
      </c>
      <c r="L748">
        <v>0</v>
      </c>
      <c r="M748">
        <v>0</v>
      </c>
      <c r="N748">
        <v>0</v>
      </c>
      <c r="O748" s="1">
        <v>45583.461446759262</v>
      </c>
      <c r="P748" t="s">
        <v>125</v>
      </c>
    </row>
    <row r="749" spans="1:16" x14ac:dyDescent="0.3">
      <c r="A749" t="s">
        <v>25</v>
      </c>
      <c r="B749" s="1">
        <v>45583.461446759262</v>
      </c>
      <c r="C749" t="str">
        <f>"41"</f>
        <v>41</v>
      </c>
      <c r="D749" t="s">
        <v>120</v>
      </c>
      <c r="E749" t="s">
        <v>116</v>
      </c>
      <c r="F749" t="s">
        <v>117</v>
      </c>
      <c r="H749" t="s">
        <v>266</v>
      </c>
      <c r="I749" t="str">
        <f>"101050002014045"</f>
        <v>101050002014045</v>
      </c>
      <c r="J749" t="str">
        <f>"126578"</f>
        <v>126578</v>
      </c>
      <c r="K749" t="s">
        <v>51</v>
      </c>
      <c r="L749">
        <v>49</v>
      </c>
      <c r="M749">
        <v>49</v>
      </c>
      <c r="N749">
        <v>0</v>
      </c>
      <c r="O749" s="1">
        <v>45583.461446759262</v>
      </c>
      <c r="P749" t="s">
        <v>125</v>
      </c>
    </row>
    <row r="750" spans="1:16" x14ac:dyDescent="0.3">
      <c r="A750" t="s">
        <v>25</v>
      </c>
      <c r="B750" s="1">
        <v>45583.461446759262</v>
      </c>
      <c r="C750" t="str">
        <f>"41"</f>
        <v>41</v>
      </c>
      <c r="D750" t="s">
        <v>120</v>
      </c>
      <c r="E750" t="s">
        <v>116</v>
      </c>
      <c r="F750" t="s">
        <v>117</v>
      </c>
      <c r="H750" t="s">
        <v>266</v>
      </c>
      <c r="I750" t="str">
        <f>"101050002014023"</f>
        <v>101050002014023</v>
      </c>
      <c r="J750" t="str">
        <f>"126578"</f>
        <v>126578</v>
      </c>
      <c r="K750" t="s">
        <v>51</v>
      </c>
      <c r="L750">
        <v>49</v>
      </c>
      <c r="M750">
        <v>49</v>
      </c>
      <c r="N750">
        <v>0</v>
      </c>
      <c r="O750" s="1">
        <v>45583.461446759262</v>
      </c>
      <c r="P750" t="s">
        <v>125</v>
      </c>
    </row>
    <row r="751" spans="1:16" x14ac:dyDescent="0.3">
      <c r="A751" t="s">
        <v>25</v>
      </c>
      <c r="B751" s="1">
        <v>45583.460659722223</v>
      </c>
      <c r="C751" t="str">
        <f>"38"</f>
        <v>38</v>
      </c>
      <c r="D751" t="s">
        <v>115</v>
      </c>
      <c r="E751" t="s">
        <v>116</v>
      </c>
      <c r="F751" t="s">
        <v>117</v>
      </c>
      <c r="H751" t="s">
        <v>267</v>
      </c>
      <c r="L751">
        <v>0</v>
      </c>
      <c r="M751">
        <v>0</v>
      </c>
      <c r="N751">
        <v>0</v>
      </c>
      <c r="O751" s="1">
        <v>45583.460659722223</v>
      </c>
      <c r="P751" t="s">
        <v>119</v>
      </c>
    </row>
    <row r="752" spans="1:16" x14ac:dyDescent="0.3">
      <c r="A752" t="s">
        <v>25</v>
      </c>
      <c r="B752" s="1">
        <v>45583.460659722223</v>
      </c>
      <c r="C752" t="str">
        <f t="shared" ref="C752:C758" si="153">"41"</f>
        <v>41</v>
      </c>
      <c r="D752" t="s">
        <v>120</v>
      </c>
      <c r="E752" t="s">
        <v>116</v>
      </c>
      <c r="F752" t="s">
        <v>117</v>
      </c>
      <c r="H752" t="s">
        <v>267</v>
      </c>
      <c r="I752" t="str">
        <f>"101050001955992"</f>
        <v>101050001955992</v>
      </c>
      <c r="J752" t="str">
        <f t="shared" ref="J752:J758" si="154">"125192"</f>
        <v>125192</v>
      </c>
      <c r="K752" t="s">
        <v>42</v>
      </c>
      <c r="L752">
        <v>49</v>
      </c>
      <c r="M752">
        <v>49</v>
      </c>
      <c r="N752">
        <v>0</v>
      </c>
      <c r="O752" s="1">
        <v>45583.460659722223</v>
      </c>
      <c r="P752" t="s">
        <v>119</v>
      </c>
    </row>
    <row r="753" spans="1:16" x14ac:dyDescent="0.3">
      <c r="A753" t="s">
        <v>25</v>
      </c>
      <c r="B753" s="1">
        <v>45583.460659722223</v>
      </c>
      <c r="C753" t="str">
        <f t="shared" si="153"/>
        <v>41</v>
      </c>
      <c r="D753" t="s">
        <v>120</v>
      </c>
      <c r="E753" t="s">
        <v>116</v>
      </c>
      <c r="F753" t="s">
        <v>117</v>
      </c>
      <c r="H753" t="s">
        <v>267</v>
      </c>
      <c r="I753" t="str">
        <f>"101050001955994"</f>
        <v>101050001955994</v>
      </c>
      <c r="J753" t="str">
        <f t="shared" si="154"/>
        <v>125192</v>
      </c>
      <c r="K753" t="s">
        <v>42</v>
      </c>
      <c r="L753">
        <v>49</v>
      </c>
      <c r="M753">
        <v>49</v>
      </c>
      <c r="N753">
        <v>0</v>
      </c>
      <c r="O753" s="1">
        <v>45583.460659722223</v>
      </c>
      <c r="P753" t="s">
        <v>119</v>
      </c>
    </row>
    <row r="754" spans="1:16" x14ac:dyDescent="0.3">
      <c r="A754" t="s">
        <v>25</v>
      </c>
      <c r="B754" s="1">
        <v>45583.460659722223</v>
      </c>
      <c r="C754" t="str">
        <f t="shared" si="153"/>
        <v>41</v>
      </c>
      <c r="D754" t="s">
        <v>120</v>
      </c>
      <c r="E754" t="s">
        <v>116</v>
      </c>
      <c r="F754" t="s">
        <v>117</v>
      </c>
      <c r="H754" t="s">
        <v>267</v>
      </c>
      <c r="I754" t="str">
        <f>"101050001955094"</f>
        <v>101050001955094</v>
      </c>
      <c r="J754" t="str">
        <f t="shared" si="154"/>
        <v>125192</v>
      </c>
      <c r="K754" t="s">
        <v>42</v>
      </c>
      <c r="L754">
        <v>49</v>
      </c>
      <c r="M754">
        <v>49</v>
      </c>
      <c r="N754">
        <v>0</v>
      </c>
      <c r="O754" s="1">
        <v>45583.460659722223</v>
      </c>
      <c r="P754" t="s">
        <v>119</v>
      </c>
    </row>
    <row r="755" spans="1:16" x14ac:dyDescent="0.3">
      <c r="A755" t="s">
        <v>25</v>
      </c>
      <c r="B755" s="1">
        <v>45583.460659722223</v>
      </c>
      <c r="C755" t="str">
        <f t="shared" si="153"/>
        <v>41</v>
      </c>
      <c r="D755" t="s">
        <v>120</v>
      </c>
      <c r="E755" t="s">
        <v>116</v>
      </c>
      <c r="F755" t="s">
        <v>117</v>
      </c>
      <c r="H755" t="s">
        <v>267</v>
      </c>
      <c r="I755" t="str">
        <f>"101050001927420"</f>
        <v>101050001927420</v>
      </c>
      <c r="J755" t="str">
        <f t="shared" si="154"/>
        <v>125192</v>
      </c>
      <c r="K755" t="s">
        <v>42</v>
      </c>
      <c r="L755">
        <v>49</v>
      </c>
      <c r="M755">
        <v>49</v>
      </c>
      <c r="N755">
        <v>0</v>
      </c>
      <c r="O755" s="1">
        <v>45583.460659722223</v>
      </c>
      <c r="P755" t="s">
        <v>119</v>
      </c>
    </row>
    <row r="756" spans="1:16" x14ac:dyDescent="0.3">
      <c r="A756" t="s">
        <v>25</v>
      </c>
      <c r="B756" s="1">
        <v>45583.460648148146</v>
      </c>
      <c r="C756" t="str">
        <f t="shared" si="153"/>
        <v>41</v>
      </c>
      <c r="D756" t="s">
        <v>120</v>
      </c>
      <c r="E756" t="s">
        <v>116</v>
      </c>
      <c r="F756" t="s">
        <v>117</v>
      </c>
      <c r="H756" t="s">
        <v>267</v>
      </c>
      <c r="I756" t="str">
        <f>"101050001927627"</f>
        <v>101050001927627</v>
      </c>
      <c r="J756" t="str">
        <f t="shared" si="154"/>
        <v>125192</v>
      </c>
      <c r="K756" t="s">
        <v>42</v>
      </c>
      <c r="L756">
        <v>49</v>
      </c>
      <c r="M756">
        <v>49</v>
      </c>
      <c r="N756">
        <v>0</v>
      </c>
      <c r="O756" s="1">
        <v>45583.460648148146</v>
      </c>
      <c r="P756" t="s">
        <v>119</v>
      </c>
    </row>
    <row r="757" spans="1:16" x14ac:dyDescent="0.3">
      <c r="A757" t="s">
        <v>25</v>
      </c>
      <c r="B757" s="1">
        <v>45583.460648148146</v>
      </c>
      <c r="C757" t="str">
        <f t="shared" si="153"/>
        <v>41</v>
      </c>
      <c r="D757" t="s">
        <v>120</v>
      </c>
      <c r="E757" t="s">
        <v>116</v>
      </c>
      <c r="F757" t="s">
        <v>117</v>
      </c>
      <c r="H757" t="s">
        <v>267</v>
      </c>
      <c r="I757" t="str">
        <f>"101050001927146"</f>
        <v>101050001927146</v>
      </c>
      <c r="J757" t="str">
        <f t="shared" si="154"/>
        <v>125192</v>
      </c>
      <c r="K757" t="s">
        <v>42</v>
      </c>
      <c r="L757">
        <v>49</v>
      </c>
      <c r="M757">
        <v>49</v>
      </c>
      <c r="N757">
        <v>0</v>
      </c>
      <c r="O757" s="1">
        <v>45583.460648148146</v>
      </c>
      <c r="P757" t="s">
        <v>119</v>
      </c>
    </row>
    <row r="758" spans="1:16" x14ac:dyDescent="0.3">
      <c r="A758" t="s">
        <v>25</v>
      </c>
      <c r="B758" s="1">
        <v>45583.460648148146</v>
      </c>
      <c r="C758" t="str">
        <f t="shared" si="153"/>
        <v>41</v>
      </c>
      <c r="D758" t="s">
        <v>120</v>
      </c>
      <c r="E758" t="s">
        <v>116</v>
      </c>
      <c r="F758" t="s">
        <v>117</v>
      </c>
      <c r="H758" t="s">
        <v>267</v>
      </c>
      <c r="I758" t="str">
        <f>"101050001927680"</f>
        <v>101050001927680</v>
      </c>
      <c r="J758" t="str">
        <f t="shared" si="154"/>
        <v>125192</v>
      </c>
      <c r="K758" t="s">
        <v>42</v>
      </c>
      <c r="L758">
        <v>49</v>
      </c>
      <c r="M758">
        <v>49</v>
      </c>
      <c r="N758">
        <v>0</v>
      </c>
      <c r="O758" s="1">
        <v>45583.460648148146</v>
      </c>
      <c r="P758" t="s">
        <v>119</v>
      </c>
    </row>
    <row r="759" spans="1:16" x14ac:dyDescent="0.3">
      <c r="A759" t="s">
        <v>25</v>
      </c>
      <c r="B759" s="1">
        <v>45583.462569444448</v>
      </c>
      <c r="C759" t="str">
        <f>"38"</f>
        <v>38</v>
      </c>
      <c r="D759" t="s">
        <v>115</v>
      </c>
      <c r="E759" t="s">
        <v>116</v>
      </c>
      <c r="F759" t="s">
        <v>117</v>
      </c>
      <c r="H759" t="s">
        <v>268</v>
      </c>
      <c r="L759">
        <v>0</v>
      </c>
      <c r="M759">
        <v>0</v>
      </c>
      <c r="N759">
        <v>0</v>
      </c>
      <c r="O759" s="1">
        <v>45583.462569444448</v>
      </c>
      <c r="P759" t="s">
        <v>138</v>
      </c>
    </row>
    <row r="760" spans="1:16" x14ac:dyDescent="0.3">
      <c r="A760" t="s">
        <v>25</v>
      </c>
      <c r="B760" s="1">
        <v>45583.462569444448</v>
      </c>
      <c r="C760" t="str">
        <f>"41"</f>
        <v>41</v>
      </c>
      <c r="D760" t="s">
        <v>120</v>
      </c>
      <c r="E760" t="s">
        <v>116</v>
      </c>
      <c r="F760" t="s">
        <v>117</v>
      </c>
      <c r="H760" t="s">
        <v>268</v>
      </c>
      <c r="I760" t="str">
        <f>"101050002027686"</f>
        <v>101050002027686</v>
      </c>
      <c r="J760" t="str">
        <f>"515122"</f>
        <v>515122</v>
      </c>
      <c r="K760" t="s">
        <v>4</v>
      </c>
      <c r="L760">
        <v>49</v>
      </c>
      <c r="M760">
        <v>49</v>
      </c>
      <c r="N760">
        <v>0</v>
      </c>
      <c r="O760" s="1">
        <v>45583.462569444448</v>
      </c>
      <c r="P760" t="s">
        <v>138</v>
      </c>
    </row>
    <row r="761" spans="1:16" x14ac:dyDescent="0.3">
      <c r="A761" t="s">
        <v>25</v>
      </c>
      <c r="B761" s="1">
        <v>45583.462569444448</v>
      </c>
      <c r="C761" t="str">
        <f>"41"</f>
        <v>41</v>
      </c>
      <c r="D761" t="s">
        <v>120</v>
      </c>
      <c r="E761" t="s">
        <v>116</v>
      </c>
      <c r="F761" t="s">
        <v>117</v>
      </c>
      <c r="H761" t="s">
        <v>268</v>
      </c>
      <c r="I761" t="str">
        <f>"101050002027583"</f>
        <v>101050002027583</v>
      </c>
      <c r="J761" t="str">
        <f>"515122"</f>
        <v>515122</v>
      </c>
      <c r="K761" t="s">
        <v>4</v>
      </c>
      <c r="L761">
        <v>49</v>
      </c>
      <c r="M761">
        <v>49</v>
      </c>
      <c r="N761">
        <v>0</v>
      </c>
      <c r="O761" s="1">
        <v>45583.462569444448</v>
      </c>
      <c r="P761" t="s">
        <v>138</v>
      </c>
    </row>
    <row r="762" spans="1:16" x14ac:dyDescent="0.3">
      <c r="A762" t="s">
        <v>25</v>
      </c>
      <c r="B762" s="1">
        <v>45583.462569444448</v>
      </c>
      <c r="C762" t="str">
        <f>"41"</f>
        <v>41</v>
      </c>
      <c r="D762" t="s">
        <v>120</v>
      </c>
      <c r="E762" t="s">
        <v>116</v>
      </c>
      <c r="F762" t="s">
        <v>117</v>
      </c>
      <c r="H762" t="s">
        <v>268</v>
      </c>
      <c r="I762" t="str">
        <f>"101050002026336"</f>
        <v>101050002026336</v>
      </c>
      <c r="J762" t="str">
        <f>"515122"</f>
        <v>515122</v>
      </c>
      <c r="K762" t="s">
        <v>4</v>
      </c>
      <c r="L762">
        <v>49</v>
      </c>
      <c r="M762">
        <v>49</v>
      </c>
      <c r="N762">
        <v>0</v>
      </c>
      <c r="O762" s="1">
        <v>45583.462569444448</v>
      </c>
      <c r="P762" t="s">
        <v>138</v>
      </c>
    </row>
    <row r="763" spans="1:16" x14ac:dyDescent="0.3">
      <c r="A763" t="s">
        <v>25</v>
      </c>
      <c r="B763" s="1">
        <v>45583.462569444448</v>
      </c>
      <c r="C763" t="str">
        <f>"41"</f>
        <v>41</v>
      </c>
      <c r="D763" t="s">
        <v>120</v>
      </c>
      <c r="E763" t="s">
        <v>116</v>
      </c>
      <c r="F763" t="s">
        <v>117</v>
      </c>
      <c r="H763" t="s">
        <v>268</v>
      </c>
      <c r="I763" t="str">
        <f>"101050002021746"</f>
        <v>101050002021746</v>
      </c>
      <c r="J763" t="str">
        <f>"515122"</f>
        <v>515122</v>
      </c>
      <c r="K763" t="s">
        <v>4</v>
      </c>
      <c r="L763">
        <v>49</v>
      </c>
      <c r="M763">
        <v>49</v>
      </c>
      <c r="N763">
        <v>0</v>
      </c>
      <c r="O763" s="1">
        <v>45583.462569444448</v>
      </c>
      <c r="P763" t="s">
        <v>138</v>
      </c>
    </row>
    <row r="764" spans="1:16" x14ac:dyDescent="0.3">
      <c r="A764" t="s">
        <v>25</v>
      </c>
      <c r="B764" s="1">
        <v>45583.459965277776</v>
      </c>
      <c r="C764" t="str">
        <f>"38"</f>
        <v>38</v>
      </c>
      <c r="D764" t="s">
        <v>115</v>
      </c>
      <c r="E764" t="s">
        <v>116</v>
      </c>
      <c r="F764" t="s">
        <v>117</v>
      </c>
      <c r="H764" t="s">
        <v>269</v>
      </c>
      <c r="L764">
        <v>0</v>
      </c>
      <c r="M764">
        <v>0</v>
      </c>
      <c r="N764">
        <v>0</v>
      </c>
      <c r="O764" s="1">
        <v>45583.459965277776</v>
      </c>
      <c r="P764" t="s">
        <v>125</v>
      </c>
    </row>
    <row r="765" spans="1:16" x14ac:dyDescent="0.3">
      <c r="A765" t="s">
        <v>25</v>
      </c>
      <c r="B765" s="1">
        <v>45583.459733796299</v>
      </c>
      <c r="C765" t="str">
        <f>"38"</f>
        <v>38</v>
      </c>
      <c r="D765" t="s">
        <v>115</v>
      </c>
      <c r="E765" t="s">
        <v>116</v>
      </c>
      <c r="F765" t="s">
        <v>117</v>
      </c>
      <c r="H765" t="s">
        <v>270</v>
      </c>
      <c r="L765">
        <v>0</v>
      </c>
      <c r="M765">
        <v>0</v>
      </c>
      <c r="N765">
        <v>0</v>
      </c>
      <c r="O765" s="1">
        <v>45583.459733796299</v>
      </c>
      <c r="P765" t="s">
        <v>125</v>
      </c>
    </row>
    <row r="766" spans="1:16" x14ac:dyDescent="0.3">
      <c r="A766" t="s">
        <v>25</v>
      </c>
      <c r="B766" s="1">
        <v>45583.459733796299</v>
      </c>
      <c r="C766" t="str">
        <f>"41"</f>
        <v>41</v>
      </c>
      <c r="D766" t="s">
        <v>120</v>
      </c>
      <c r="E766" t="s">
        <v>116</v>
      </c>
      <c r="F766" t="s">
        <v>117</v>
      </c>
      <c r="H766" t="s">
        <v>270</v>
      </c>
      <c r="I766" t="str">
        <f>"101050001909182"</f>
        <v>101050001909182</v>
      </c>
      <c r="J766" t="str">
        <f>"126554"</f>
        <v>126554</v>
      </c>
      <c r="K766" t="s">
        <v>50</v>
      </c>
      <c r="L766">
        <v>49</v>
      </c>
      <c r="M766">
        <v>49</v>
      </c>
      <c r="N766">
        <v>0</v>
      </c>
      <c r="O766" s="1">
        <v>45583.459733796299</v>
      </c>
      <c r="P766" t="s">
        <v>125</v>
      </c>
    </row>
    <row r="767" spans="1:16" x14ac:dyDescent="0.3">
      <c r="A767" t="s">
        <v>25</v>
      </c>
      <c r="B767" s="1">
        <v>45583.459606481483</v>
      </c>
      <c r="C767" t="str">
        <f>"38"</f>
        <v>38</v>
      </c>
      <c r="D767" t="s">
        <v>115</v>
      </c>
      <c r="E767" t="s">
        <v>116</v>
      </c>
      <c r="F767" t="s">
        <v>117</v>
      </c>
      <c r="H767" t="s">
        <v>271</v>
      </c>
      <c r="L767">
        <v>0</v>
      </c>
      <c r="M767">
        <v>0</v>
      </c>
      <c r="N767">
        <v>0</v>
      </c>
      <c r="O767" s="1">
        <v>45583.459606481483</v>
      </c>
      <c r="P767" t="s">
        <v>122</v>
      </c>
    </row>
    <row r="768" spans="1:16" x14ac:dyDescent="0.3">
      <c r="A768" t="s">
        <v>25</v>
      </c>
      <c r="B768" s="1">
        <v>45583.459606481483</v>
      </c>
      <c r="C768" t="str">
        <f t="shared" ref="C768:C774" si="155">"41"</f>
        <v>41</v>
      </c>
      <c r="D768" t="s">
        <v>120</v>
      </c>
      <c r="E768" t="s">
        <v>116</v>
      </c>
      <c r="F768" t="s">
        <v>117</v>
      </c>
      <c r="H768" t="s">
        <v>271</v>
      </c>
      <c r="I768" t="str">
        <f>"101050002026841"</f>
        <v>101050002026841</v>
      </c>
      <c r="J768" t="str">
        <f t="shared" ref="J768:J774" si="156">"515123"</f>
        <v>515123</v>
      </c>
      <c r="K768" t="s">
        <v>19</v>
      </c>
      <c r="L768">
        <v>49</v>
      </c>
      <c r="M768">
        <v>49</v>
      </c>
      <c r="N768">
        <v>0</v>
      </c>
      <c r="O768" s="1">
        <v>45583.459606481483</v>
      </c>
      <c r="P768" t="s">
        <v>122</v>
      </c>
    </row>
    <row r="769" spans="1:16" x14ac:dyDescent="0.3">
      <c r="A769" t="s">
        <v>25</v>
      </c>
      <c r="B769" s="1">
        <v>45583.459594907406</v>
      </c>
      <c r="C769" t="str">
        <f t="shared" si="155"/>
        <v>41</v>
      </c>
      <c r="D769" t="s">
        <v>120</v>
      </c>
      <c r="E769" t="s">
        <v>116</v>
      </c>
      <c r="F769" t="s">
        <v>117</v>
      </c>
      <c r="H769" t="s">
        <v>271</v>
      </c>
      <c r="I769" t="str">
        <f>"101050002026729"</f>
        <v>101050002026729</v>
      </c>
      <c r="J769" t="str">
        <f t="shared" si="156"/>
        <v>515123</v>
      </c>
      <c r="K769" t="s">
        <v>19</v>
      </c>
      <c r="L769">
        <v>49</v>
      </c>
      <c r="M769">
        <v>49</v>
      </c>
      <c r="N769">
        <v>0</v>
      </c>
      <c r="O769" s="1">
        <v>45583.459594907406</v>
      </c>
      <c r="P769" t="s">
        <v>122</v>
      </c>
    </row>
    <row r="770" spans="1:16" x14ac:dyDescent="0.3">
      <c r="A770" t="s">
        <v>25</v>
      </c>
      <c r="B770" s="1">
        <v>45583.459594907406</v>
      </c>
      <c r="C770" t="str">
        <f t="shared" si="155"/>
        <v>41</v>
      </c>
      <c r="D770" t="s">
        <v>120</v>
      </c>
      <c r="E770" t="s">
        <v>116</v>
      </c>
      <c r="F770" t="s">
        <v>117</v>
      </c>
      <c r="H770" t="s">
        <v>271</v>
      </c>
      <c r="I770" t="str">
        <f>"101050002026198"</f>
        <v>101050002026198</v>
      </c>
      <c r="J770" t="str">
        <f t="shared" si="156"/>
        <v>515123</v>
      </c>
      <c r="K770" t="s">
        <v>19</v>
      </c>
      <c r="L770">
        <v>49</v>
      </c>
      <c r="M770">
        <v>49</v>
      </c>
      <c r="N770">
        <v>0</v>
      </c>
      <c r="O770" s="1">
        <v>45583.459594907406</v>
      </c>
      <c r="P770" t="s">
        <v>122</v>
      </c>
    </row>
    <row r="771" spans="1:16" x14ac:dyDescent="0.3">
      <c r="A771" t="s">
        <v>25</v>
      </c>
      <c r="B771" s="1">
        <v>45583.459594907406</v>
      </c>
      <c r="C771" t="str">
        <f t="shared" si="155"/>
        <v>41</v>
      </c>
      <c r="D771" t="s">
        <v>120</v>
      </c>
      <c r="E771" t="s">
        <v>116</v>
      </c>
      <c r="F771" t="s">
        <v>117</v>
      </c>
      <c r="H771" t="s">
        <v>271</v>
      </c>
      <c r="I771" t="str">
        <f>"101050002025528"</f>
        <v>101050002025528</v>
      </c>
      <c r="J771" t="str">
        <f t="shared" si="156"/>
        <v>515123</v>
      </c>
      <c r="K771" t="s">
        <v>19</v>
      </c>
      <c r="L771">
        <v>49</v>
      </c>
      <c r="M771">
        <v>49</v>
      </c>
      <c r="N771">
        <v>0</v>
      </c>
      <c r="O771" s="1">
        <v>45583.459594907406</v>
      </c>
      <c r="P771" t="s">
        <v>122</v>
      </c>
    </row>
    <row r="772" spans="1:16" x14ac:dyDescent="0.3">
      <c r="A772" t="s">
        <v>25</v>
      </c>
      <c r="B772" s="1">
        <v>45583.459594907406</v>
      </c>
      <c r="C772" t="str">
        <f t="shared" si="155"/>
        <v>41</v>
      </c>
      <c r="D772" t="s">
        <v>120</v>
      </c>
      <c r="E772" t="s">
        <v>116</v>
      </c>
      <c r="F772" t="s">
        <v>117</v>
      </c>
      <c r="H772" t="s">
        <v>271</v>
      </c>
      <c r="I772" t="str">
        <f>"101050002018889"</f>
        <v>101050002018889</v>
      </c>
      <c r="J772" t="str">
        <f t="shared" si="156"/>
        <v>515123</v>
      </c>
      <c r="K772" t="s">
        <v>19</v>
      </c>
      <c r="L772">
        <v>49</v>
      </c>
      <c r="M772">
        <v>49</v>
      </c>
      <c r="N772">
        <v>0</v>
      </c>
      <c r="O772" s="1">
        <v>45583.459594907406</v>
      </c>
      <c r="P772" t="s">
        <v>122</v>
      </c>
    </row>
    <row r="773" spans="1:16" x14ac:dyDescent="0.3">
      <c r="A773" t="s">
        <v>25</v>
      </c>
      <c r="B773" s="1">
        <v>45583.459594907406</v>
      </c>
      <c r="C773" t="str">
        <f t="shared" si="155"/>
        <v>41</v>
      </c>
      <c r="D773" t="s">
        <v>120</v>
      </c>
      <c r="E773" t="s">
        <v>116</v>
      </c>
      <c r="F773" t="s">
        <v>117</v>
      </c>
      <c r="H773" t="s">
        <v>271</v>
      </c>
      <c r="I773" t="str">
        <f>"101050002024235"</f>
        <v>101050002024235</v>
      </c>
      <c r="J773" t="str">
        <f t="shared" si="156"/>
        <v>515123</v>
      </c>
      <c r="K773" t="s">
        <v>19</v>
      </c>
      <c r="L773">
        <v>49</v>
      </c>
      <c r="M773">
        <v>49</v>
      </c>
      <c r="N773">
        <v>0</v>
      </c>
      <c r="O773" s="1">
        <v>45583.459594907406</v>
      </c>
      <c r="P773" t="s">
        <v>122</v>
      </c>
    </row>
    <row r="774" spans="1:16" x14ac:dyDescent="0.3">
      <c r="A774" t="s">
        <v>25</v>
      </c>
      <c r="B774" s="1">
        <v>45583.459594907406</v>
      </c>
      <c r="C774" t="str">
        <f t="shared" si="155"/>
        <v>41</v>
      </c>
      <c r="D774" t="s">
        <v>120</v>
      </c>
      <c r="E774" t="s">
        <v>116</v>
      </c>
      <c r="F774" t="s">
        <v>117</v>
      </c>
      <c r="H774" t="s">
        <v>271</v>
      </c>
      <c r="I774" t="str">
        <f>"101050002026315"</f>
        <v>101050002026315</v>
      </c>
      <c r="J774" t="str">
        <f t="shared" si="156"/>
        <v>515123</v>
      </c>
      <c r="K774" t="s">
        <v>19</v>
      </c>
      <c r="L774">
        <v>49</v>
      </c>
      <c r="M774">
        <v>49</v>
      </c>
      <c r="N774">
        <v>0</v>
      </c>
      <c r="O774" s="1">
        <v>45583.459594907406</v>
      </c>
      <c r="P774" t="s">
        <v>122</v>
      </c>
    </row>
    <row r="775" spans="1:16" x14ac:dyDescent="0.3">
      <c r="A775" t="s">
        <v>25</v>
      </c>
      <c r="B775" s="1">
        <v>45583.458634259259</v>
      </c>
      <c r="C775" t="str">
        <f>"38"</f>
        <v>38</v>
      </c>
      <c r="D775" t="s">
        <v>115</v>
      </c>
      <c r="E775" t="s">
        <v>116</v>
      </c>
      <c r="F775" t="s">
        <v>117</v>
      </c>
      <c r="H775" t="s">
        <v>272</v>
      </c>
      <c r="L775">
        <v>0</v>
      </c>
      <c r="M775">
        <v>0</v>
      </c>
      <c r="N775">
        <v>0</v>
      </c>
      <c r="O775" s="1">
        <v>45583.458634259259</v>
      </c>
      <c r="P775" t="s">
        <v>119</v>
      </c>
    </row>
    <row r="776" spans="1:16" x14ac:dyDescent="0.3">
      <c r="A776" t="s">
        <v>25</v>
      </c>
      <c r="B776" s="1">
        <v>45583.458634259259</v>
      </c>
      <c r="C776" t="str">
        <f>"41"</f>
        <v>41</v>
      </c>
      <c r="D776" t="s">
        <v>120</v>
      </c>
      <c r="E776" t="s">
        <v>116</v>
      </c>
      <c r="F776" t="s">
        <v>117</v>
      </c>
      <c r="H776" t="s">
        <v>272</v>
      </c>
      <c r="I776" t="str">
        <f>"101050001988139"</f>
        <v>101050001988139</v>
      </c>
      <c r="J776" t="str">
        <f>"123052"</f>
        <v>123052</v>
      </c>
      <c r="K776" t="s">
        <v>28</v>
      </c>
      <c r="L776">
        <v>49</v>
      </c>
      <c r="M776">
        <v>49</v>
      </c>
      <c r="N776">
        <v>0</v>
      </c>
      <c r="O776" s="1">
        <v>45583.458634259259</v>
      </c>
      <c r="P776" t="s">
        <v>119</v>
      </c>
    </row>
    <row r="777" spans="1:16" x14ac:dyDescent="0.3">
      <c r="A777" t="s">
        <v>25</v>
      </c>
      <c r="B777" s="1">
        <v>45583.458634259259</v>
      </c>
      <c r="C777" t="str">
        <f>"41"</f>
        <v>41</v>
      </c>
      <c r="D777" t="s">
        <v>120</v>
      </c>
      <c r="E777" t="s">
        <v>116</v>
      </c>
      <c r="F777" t="s">
        <v>117</v>
      </c>
      <c r="H777" t="s">
        <v>272</v>
      </c>
      <c r="I777" t="str">
        <f>"101050001988054"</f>
        <v>101050001988054</v>
      </c>
      <c r="J777" t="str">
        <f>"123052"</f>
        <v>123052</v>
      </c>
      <c r="K777" t="s">
        <v>28</v>
      </c>
      <c r="L777">
        <v>49</v>
      </c>
      <c r="M777">
        <v>49</v>
      </c>
      <c r="N777">
        <v>0</v>
      </c>
      <c r="O777" s="1">
        <v>45583.458634259259</v>
      </c>
      <c r="P777" t="s">
        <v>119</v>
      </c>
    </row>
    <row r="778" spans="1:16" x14ac:dyDescent="0.3">
      <c r="A778" t="s">
        <v>25</v>
      </c>
      <c r="B778" s="1">
        <v>45583.458703703705</v>
      </c>
      <c r="C778" t="str">
        <f>"38"</f>
        <v>38</v>
      </c>
      <c r="D778" t="s">
        <v>115</v>
      </c>
      <c r="E778" t="s">
        <v>116</v>
      </c>
      <c r="F778" t="s">
        <v>117</v>
      </c>
      <c r="H778" t="s">
        <v>273</v>
      </c>
      <c r="L778">
        <v>0</v>
      </c>
      <c r="M778">
        <v>0</v>
      </c>
      <c r="N778">
        <v>0</v>
      </c>
      <c r="O778" s="1">
        <v>45583.458703703705</v>
      </c>
      <c r="P778" t="s">
        <v>122</v>
      </c>
    </row>
    <row r="779" spans="1:16" x14ac:dyDescent="0.3">
      <c r="A779" t="s">
        <v>25</v>
      </c>
      <c r="B779" s="1">
        <v>45583.458703703705</v>
      </c>
      <c r="C779" t="str">
        <f t="shared" ref="C779:C785" si="157">"41"</f>
        <v>41</v>
      </c>
      <c r="D779" t="s">
        <v>120</v>
      </c>
      <c r="E779" t="s">
        <v>116</v>
      </c>
      <c r="F779" t="s">
        <v>117</v>
      </c>
      <c r="H779" t="s">
        <v>273</v>
      </c>
      <c r="I779" t="str">
        <f>"101050002027179"</f>
        <v>101050002027179</v>
      </c>
      <c r="J779" t="str">
        <f t="shared" ref="J779:J785" si="158">"515122"</f>
        <v>515122</v>
      </c>
      <c r="K779" t="s">
        <v>4</v>
      </c>
      <c r="L779">
        <v>49</v>
      </c>
      <c r="M779">
        <v>49</v>
      </c>
      <c r="N779">
        <v>0</v>
      </c>
      <c r="O779" s="1">
        <v>45583.458703703705</v>
      </c>
      <c r="P779" t="s">
        <v>122</v>
      </c>
    </row>
    <row r="780" spans="1:16" x14ac:dyDescent="0.3">
      <c r="A780" t="s">
        <v>25</v>
      </c>
      <c r="B780" s="1">
        <v>45583.458703703705</v>
      </c>
      <c r="C780" t="str">
        <f t="shared" si="157"/>
        <v>41</v>
      </c>
      <c r="D780" t="s">
        <v>120</v>
      </c>
      <c r="E780" t="s">
        <v>116</v>
      </c>
      <c r="F780" t="s">
        <v>117</v>
      </c>
      <c r="H780" t="s">
        <v>273</v>
      </c>
      <c r="I780" t="str">
        <f>"101050002026640"</f>
        <v>101050002026640</v>
      </c>
      <c r="J780" t="str">
        <f t="shared" si="158"/>
        <v>515122</v>
      </c>
      <c r="K780" t="s">
        <v>4</v>
      </c>
      <c r="L780">
        <v>49</v>
      </c>
      <c r="M780">
        <v>49</v>
      </c>
      <c r="N780">
        <v>0</v>
      </c>
      <c r="O780" s="1">
        <v>45583.458703703705</v>
      </c>
      <c r="P780" t="s">
        <v>122</v>
      </c>
    </row>
    <row r="781" spans="1:16" x14ac:dyDescent="0.3">
      <c r="A781" t="s">
        <v>25</v>
      </c>
      <c r="B781" s="1">
        <v>45583.458703703705</v>
      </c>
      <c r="C781" t="str">
        <f t="shared" si="157"/>
        <v>41</v>
      </c>
      <c r="D781" t="s">
        <v>120</v>
      </c>
      <c r="E781" t="s">
        <v>116</v>
      </c>
      <c r="F781" t="s">
        <v>117</v>
      </c>
      <c r="H781" t="s">
        <v>273</v>
      </c>
      <c r="I781" t="str">
        <f>"101050002026610"</f>
        <v>101050002026610</v>
      </c>
      <c r="J781" t="str">
        <f t="shared" si="158"/>
        <v>515122</v>
      </c>
      <c r="K781" t="s">
        <v>4</v>
      </c>
      <c r="L781">
        <v>49</v>
      </c>
      <c r="M781">
        <v>49</v>
      </c>
      <c r="N781">
        <v>0</v>
      </c>
      <c r="O781" s="1">
        <v>45583.458703703705</v>
      </c>
      <c r="P781" t="s">
        <v>122</v>
      </c>
    </row>
    <row r="782" spans="1:16" x14ac:dyDescent="0.3">
      <c r="A782" t="s">
        <v>25</v>
      </c>
      <c r="B782" s="1">
        <v>45583.458703703705</v>
      </c>
      <c r="C782" t="str">
        <f t="shared" si="157"/>
        <v>41</v>
      </c>
      <c r="D782" t="s">
        <v>120</v>
      </c>
      <c r="E782" t="s">
        <v>116</v>
      </c>
      <c r="F782" t="s">
        <v>117</v>
      </c>
      <c r="H782" t="s">
        <v>273</v>
      </c>
      <c r="I782" t="str">
        <f>"101050002025415"</f>
        <v>101050002025415</v>
      </c>
      <c r="J782" t="str">
        <f t="shared" si="158"/>
        <v>515122</v>
      </c>
      <c r="K782" t="s">
        <v>4</v>
      </c>
      <c r="L782">
        <v>49</v>
      </c>
      <c r="M782">
        <v>49</v>
      </c>
      <c r="N782">
        <v>0</v>
      </c>
      <c r="O782" s="1">
        <v>45583.458703703705</v>
      </c>
      <c r="P782" t="s">
        <v>122</v>
      </c>
    </row>
    <row r="783" spans="1:16" x14ac:dyDescent="0.3">
      <c r="A783" t="s">
        <v>25</v>
      </c>
      <c r="B783" s="1">
        <v>45583.458703703705</v>
      </c>
      <c r="C783" t="str">
        <f t="shared" si="157"/>
        <v>41</v>
      </c>
      <c r="D783" t="s">
        <v>120</v>
      </c>
      <c r="E783" t="s">
        <v>116</v>
      </c>
      <c r="F783" t="s">
        <v>117</v>
      </c>
      <c r="H783" t="s">
        <v>273</v>
      </c>
      <c r="I783" t="str">
        <f>"101050002024322"</f>
        <v>101050002024322</v>
      </c>
      <c r="J783" t="str">
        <f t="shared" si="158"/>
        <v>515122</v>
      </c>
      <c r="K783" t="s">
        <v>4</v>
      </c>
      <c r="L783">
        <v>49</v>
      </c>
      <c r="M783">
        <v>49</v>
      </c>
      <c r="N783">
        <v>0</v>
      </c>
      <c r="O783" s="1">
        <v>45583.458703703705</v>
      </c>
      <c r="P783" t="s">
        <v>122</v>
      </c>
    </row>
    <row r="784" spans="1:16" x14ac:dyDescent="0.3">
      <c r="A784" t="s">
        <v>25</v>
      </c>
      <c r="B784" s="1">
        <v>45583.458703703705</v>
      </c>
      <c r="C784" t="str">
        <f t="shared" si="157"/>
        <v>41</v>
      </c>
      <c r="D784" t="s">
        <v>120</v>
      </c>
      <c r="E784" t="s">
        <v>116</v>
      </c>
      <c r="F784" t="s">
        <v>117</v>
      </c>
      <c r="H784" t="s">
        <v>273</v>
      </c>
      <c r="I784" t="str">
        <f>"101050002024509"</f>
        <v>101050002024509</v>
      </c>
      <c r="J784" t="str">
        <f t="shared" si="158"/>
        <v>515122</v>
      </c>
      <c r="K784" t="s">
        <v>4</v>
      </c>
      <c r="L784">
        <v>49</v>
      </c>
      <c r="M784">
        <v>49</v>
      </c>
      <c r="N784">
        <v>0</v>
      </c>
      <c r="O784" s="1">
        <v>45583.458703703705</v>
      </c>
      <c r="P784" t="s">
        <v>122</v>
      </c>
    </row>
    <row r="785" spans="1:16" x14ac:dyDescent="0.3">
      <c r="A785" t="s">
        <v>25</v>
      </c>
      <c r="B785" s="1">
        <v>45583.458692129629</v>
      </c>
      <c r="C785" t="str">
        <f t="shared" si="157"/>
        <v>41</v>
      </c>
      <c r="D785" t="s">
        <v>120</v>
      </c>
      <c r="E785" t="s">
        <v>116</v>
      </c>
      <c r="F785" t="s">
        <v>117</v>
      </c>
      <c r="H785" t="s">
        <v>273</v>
      </c>
      <c r="I785" t="str">
        <f>"101050002023675"</f>
        <v>101050002023675</v>
      </c>
      <c r="J785" t="str">
        <f t="shared" si="158"/>
        <v>515122</v>
      </c>
      <c r="K785" t="s">
        <v>4</v>
      </c>
      <c r="L785">
        <v>49</v>
      </c>
      <c r="M785">
        <v>49</v>
      </c>
      <c r="N785">
        <v>0</v>
      </c>
      <c r="O785" s="1">
        <v>45583.458692129629</v>
      </c>
      <c r="P785" t="s">
        <v>122</v>
      </c>
    </row>
    <row r="786" spans="1:16" x14ac:dyDescent="0.3">
      <c r="A786" t="s">
        <v>25</v>
      </c>
      <c r="B786" s="1">
        <v>45583.457916666666</v>
      </c>
      <c r="C786" t="str">
        <f>"38"</f>
        <v>38</v>
      </c>
      <c r="D786" t="s">
        <v>115</v>
      </c>
      <c r="E786" t="s">
        <v>116</v>
      </c>
      <c r="F786" t="s">
        <v>117</v>
      </c>
      <c r="H786" t="s">
        <v>274</v>
      </c>
      <c r="L786">
        <v>0</v>
      </c>
      <c r="M786">
        <v>0</v>
      </c>
      <c r="N786">
        <v>0</v>
      </c>
      <c r="O786" s="1">
        <v>45583.457916666666</v>
      </c>
      <c r="P786" t="s">
        <v>125</v>
      </c>
    </row>
    <row r="787" spans="1:16" x14ac:dyDescent="0.3">
      <c r="A787" t="s">
        <v>25</v>
      </c>
      <c r="B787" s="1">
        <v>45583.45784722222</v>
      </c>
      <c r="C787" t="str">
        <f>"38"</f>
        <v>38</v>
      </c>
      <c r="D787" t="s">
        <v>115</v>
      </c>
      <c r="E787" t="s">
        <v>116</v>
      </c>
      <c r="F787" t="s">
        <v>117</v>
      </c>
      <c r="H787" t="s">
        <v>275</v>
      </c>
      <c r="L787">
        <v>0</v>
      </c>
      <c r="M787">
        <v>0</v>
      </c>
      <c r="N787">
        <v>0</v>
      </c>
      <c r="O787" s="1">
        <v>45583.45784722222</v>
      </c>
      <c r="P787" t="s">
        <v>138</v>
      </c>
    </row>
    <row r="788" spans="1:16" x14ac:dyDescent="0.3">
      <c r="A788" t="s">
        <v>25</v>
      </c>
      <c r="B788" s="1">
        <v>45583.45784722222</v>
      </c>
      <c r="C788" t="str">
        <f>"40"</f>
        <v>40</v>
      </c>
      <c r="D788" t="s">
        <v>220</v>
      </c>
      <c r="E788" t="s">
        <v>116</v>
      </c>
      <c r="F788" t="s">
        <v>117</v>
      </c>
      <c r="G788" t="s">
        <v>221</v>
      </c>
      <c r="H788" t="s">
        <v>275</v>
      </c>
      <c r="I788" t="str">
        <f>"101050002016881"</f>
        <v>101050002016881</v>
      </c>
      <c r="J788" t="str">
        <f t="shared" ref="J788:J793" si="159">"127923"</f>
        <v>127923</v>
      </c>
      <c r="K788" t="s">
        <v>9</v>
      </c>
      <c r="L788">
        <v>91</v>
      </c>
      <c r="M788">
        <v>0</v>
      </c>
      <c r="N788">
        <v>-91</v>
      </c>
      <c r="O788" s="1">
        <v>45583.45784722222</v>
      </c>
      <c r="P788" t="s">
        <v>138</v>
      </c>
    </row>
    <row r="789" spans="1:16" x14ac:dyDescent="0.3">
      <c r="A789" t="s">
        <v>25</v>
      </c>
      <c r="B789" s="1">
        <v>45583.45784722222</v>
      </c>
      <c r="C789" t="str">
        <f>"41"</f>
        <v>41</v>
      </c>
      <c r="D789" t="s">
        <v>120</v>
      </c>
      <c r="E789" t="s">
        <v>116</v>
      </c>
      <c r="F789" t="s">
        <v>117</v>
      </c>
      <c r="H789" t="s">
        <v>275</v>
      </c>
      <c r="I789" t="str">
        <f>"101050002028063"</f>
        <v>101050002028063</v>
      </c>
      <c r="J789" t="str">
        <f t="shared" si="159"/>
        <v>127923</v>
      </c>
      <c r="K789" t="s">
        <v>9</v>
      </c>
      <c r="L789">
        <v>91</v>
      </c>
      <c r="M789">
        <v>91</v>
      </c>
      <c r="N789">
        <v>0</v>
      </c>
      <c r="O789" s="1">
        <v>45583.45784722222</v>
      </c>
      <c r="P789" t="s">
        <v>138</v>
      </c>
    </row>
    <row r="790" spans="1:16" x14ac:dyDescent="0.3">
      <c r="A790" t="s">
        <v>25</v>
      </c>
      <c r="B790" s="1">
        <v>45583.45784722222</v>
      </c>
      <c r="C790" t="str">
        <f>"41"</f>
        <v>41</v>
      </c>
      <c r="D790" t="s">
        <v>120</v>
      </c>
      <c r="E790" t="s">
        <v>116</v>
      </c>
      <c r="F790" t="s">
        <v>117</v>
      </c>
      <c r="H790" t="s">
        <v>275</v>
      </c>
      <c r="I790" t="str">
        <f>"101050002027364"</f>
        <v>101050002027364</v>
      </c>
      <c r="J790" t="str">
        <f t="shared" si="159"/>
        <v>127923</v>
      </c>
      <c r="K790" t="s">
        <v>9</v>
      </c>
      <c r="L790">
        <v>91</v>
      </c>
      <c r="M790">
        <v>91</v>
      </c>
      <c r="N790">
        <v>0</v>
      </c>
      <c r="O790" s="1">
        <v>45583.45784722222</v>
      </c>
      <c r="P790" t="s">
        <v>138</v>
      </c>
    </row>
    <row r="791" spans="1:16" x14ac:dyDescent="0.3">
      <c r="A791" t="s">
        <v>25</v>
      </c>
      <c r="B791" s="1">
        <v>45583.45784722222</v>
      </c>
      <c r="C791" t="str">
        <f>"41"</f>
        <v>41</v>
      </c>
      <c r="D791" t="s">
        <v>120</v>
      </c>
      <c r="E791" t="s">
        <v>116</v>
      </c>
      <c r="F791" t="s">
        <v>117</v>
      </c>
      <c r="H791" t="s">
        <v>275</v>
      </c>
      <c r="I791" t="str">
        <f>"101050002027486"</f>
        <v>101050002027486</v>
      </c>
      <c r="J791" t="str">
        <f t="shared" si="159"/>
        <v>127923</v>
      </c>
      <c r="K791" t="s">
        <v>9</v>
      </c>
      <c r="L791">
        <v>91</v>
      </c>
      <c r="M791">
        <v>91</v>
      </c>
      <c r="N791">
        <v>0</v>
      </c>
      <c r="O791" s="1">
        <v>45583.45784722222</v>
      </c>
      <c r="P791" t="s">
        <v>138</v>
      </c>
    </row>
    <row r="792" spans="1:16" x14ac:dyDescent="0.3">
      <c r="A792" t="s">
        <v>25</v>
      </c>
      <c r="B792" s="1">
        <v>45583.457835648151</v>
      </c>
      <c r="C792" t="str">
        <f>"41"</f>
        <v>41</v>
      </c>
      <c r="D792" t="s">
        <v>120</v>
      </c>
      <c r="E792" t="s">
        <v>116</v>
      </c>
      <c r="F792" t="s">
        <v>117</v>
      </c>
      <c r="H792" t="s">
        <v>275</v>
      </c>
      <c r="I792" t="str">
        <f>"101050002027770"</f>
        <v>101050002027770</v>
      </c>
      <c r="J792" t="str">
        <f t="shared" si="159"/>
        <v>127923</v>
      </c>
      <c r="K792" t="s">
        <v>9</v>
      </c>
      <c r="L792">
        <v>91</v>
      </c>
      <c r="M792">
        <v>91</v>
      </c>
      <c r="N792">
        <v>0</v>
      </c>
      <c r="O792" s="1">
        <v>45583.457835648151</v>
      </c>
      <c r="P792" t="s">
        <v>138</v>
      </c>
    </row>
    <row r="793" spans="1:16" x14ac:dyDescent="0.3">
      <c r="A793" t="s">
        <v>25</v>
      </c>
      <c r="B793" s="1">
        <v>45583.457835648151</v>
      </c>
      <c r="C793" t="str">
        <f>"41"</f>
        <v>41</v>
      </c>
      <c r="D793" t="s">
        <v>120</v>
      </c>
      <c r="E793" t="s">
        <v>116</v>
      </c>
      <c r="F793" t="s">
        <v>117</v>
      </c>
      <c r="H793" t="s">
        <v>275</v>
      </c>
      <c r="I793" t="str">
        <f>"101050002027415"</f>
        <v>101050002027415</v>
      </c>
      <c r="J793" t="str">
        <f t="shared" si="159"/>
        <v>127923</v>
      </c>
      <c r="K793" t="s">
        <v>9</v>
      </c>
      <c r="L793">
        <v>91</v>
      </c>
      <c r="M793">
        <v>91</v>
      </c>
      <c r="N793">
        <v>0</v>
      </c>
      <c r="O793" s="1">
        <v>45583.457835648151</v>
      </c>
      <c r="P793" t="s">
        <v>138</v>
      </c>
    </row>
    <row r="794" spans="1:16" x14ac:dyDescent="0.3">
      <c r="A794" t="s">
        <v>25</v>
      </c>
      <c r="B794" s="1">
        <v>45583.455694444441</v>
      </c>
      <c r="C794" t="str">
        <f>"38"</f>
        <v>38</v>
      </c>
      <c r="D794" t="s">
        <v>115</v>
      </c>
      <c r="E794" t="s">
        <v>116</v>
      </c>
      <c r="F794" t="s">
        <v>117</v>
      </c>
      <c r="H794" t="s">
        <v>276</v>
      </c>
      <c r="L794">
        <v>0</v>
      </c>
      <c r="M794">
        <v>0</v>
      </c>
      <c r="N794">
        <v>0</v>
      </c>
      <c r="O794" s="1">
        <v>45583.455694444441</v>
      </c>
      <c r="P794" t="s">
        <v>119</v>
      </c>
    </row>
    <row r="795" spans="1:16" x14ac:dyDescent="0.3">
      <c r="A795" t="s">
        <v>25</v>
      </c>
      <c r="B795" s="1">
        <v>45583.455694444441</v>
      </c>
      <c r="C795" t="str">
        <f t="shared" ref="C795:C801" si="160">"41"</f>
        <v>41</v>
      </c>
      <c r="D795" t="s">
        <v>120</v>
      </c>
      <c r="E795" t="s">
        <v>116</v>
      </c>
      <c r="F795" t="s">
        <v>117</v>
      </c>
      <c r="H795" t="s">
        <v>276</v>
      </c>
      <c r="I795" t="str">
        <f>"101620000472473"</f>
        <v>101620000472473</v>
      </c>
      <c r="J795" t="str">
        <f t="shared" ref="J795:J801" si="161">"127802"</f>
        <v>127802</v>
      </c>
      <c r="K795" t="s">
        <v>6</v>
      </c>
      <c r="L795">
        <v>91</v>
      </c>
      <c r="M795">
        <v>91</v>
      </c>
      <c r="N795">
        <v>0</v>
      </c>
      <c r="O795" s="1">
        <v>45583.455694444441</v>
      </c>
      <c r="P795" t="s">
        <v>119</v>
      </c>
    </row>
    <row r="796" spans="1:16" x14ac:dyDescent="0.3">
      <c r="A796" t="s">
        <v>25</v>
      </c>
      <c r="B796" s="1">
        <v>45583.455694444441</v>
      </c>
      <c r="C796" t="str">
        <f t="shared" si="160"/>
        <v>41</v>
      </c>
      <c r="D796" t="s">
        <v>120</v>
      </c>
      <c r="E796" t="s">
        <v>116</v>
      </c>
      <c r="F796" t="s">
        <v>117</v>
      </c>
      <c r="H796" t="s">
        <v>276</v>
      </c>
      <c r="I796" t="str">
        <f>"101620000472467"</f>
        <v>101620000472467</v>
      </c>
      <c r="J796" t="str">
        <f t="shared" si="161"/>
        <v>127802</v>
      </c>
      <c r="K796" t="s">
        <v>6</v>
      </c>
      <c r="L796">
        <v>91</v>
      </c>
      <c r="M796">
        <v>91</v>
      </c>
      <c r="N796">
        <v>0</v>
      </c>
      <c r="O796" s="1">
        <v>45583.455694444441</v>
      </c>
      <c r="P796" t="s">
        <v>119</v>
      </c>
    </row>
    <row r="797" spans="1:16" x14ac:dyDescent="0.3">
      <c r="A797" t="s">
        <v>25</v>
      </c>
      <c r="B797" s="1">
        <v>45583.455694444441</v>
      </c>
      <c r="C797" t="str">
        <f t="shared" si="160"/>
        <v>41</v>
      </c>
      <c r="D797" t="s">
        <v>120</v>
      </c>
      <c r="E797" t="s">
        <v>116</v>
      </c>
      <c r="F797" t="s">
        <v>117</v>
      </c>
      <c r="H797" t="s">
        <v>276</v>
      </c>
      <c r="I797" t="str">
        <f>"101620000469068"</f>
        <v>101620000469068</v>
      </c>
      <c r="J797" t="str">
        <f t="shared" si="161"/>
        <v>127802</v>
      </c>
      <c r="K797" t="s">
        <v>6</v>
      </c>
      <c r="L797">
        <v>91</v>
      </c>
      <c r="M797">
        <v>91</v>
      </c>
      <c r="N797">
        <v>0</v>
      </c>
      <c r="O797" s="1">
        <v>45583.455694444441</v>
      </c>
      <c r="P797" t="s">
        <v>119</v>
      </c>
    </row>
    <row r="798" spans="1:16" x14ac:dyDescent="0.3">
      <c r="A798" t="s">
        <v>25</v>
      </c>
      <c r="B798" s="1">
        <v>45583.455682870372</v>
      </c>
      <c r="C798" t="str">
        <f t="shared" si="160"/>
        <v>41</v>
      </c>
      <c r="D798" t="s">
        <v>120</v>
      </c>
      <c r="E798" t="s">
        <v>116</v>
      </c>
      <c r="F798" t="s">
        <v>117</v>
      </c>
      <c r="H798" t="s">
        <v>276</v>
      </c>
      <c r="I798" t="str">
        <f>"101620000472462"</f>
        <v>101620000472462</v>
      </c>
      <c r="J798" t="str">
        <f t="shared" si="161"/>
        <v>127802</v>
      </c>
      <c r="K798" t="s">
        <v>6</v>
      </c>
      <c r="L798">
        <v>91</v>
      </c>
      <c r="M798">
        <v>91</v>
      </c>
      <c r="N798">
        <v>0</v>
      </c>
      <c r="O798" s="1">
        <v>45583.455682870372</v>
      </c>
      <c r="P798" t="s">
        <v>119</v>
      </c>
    </row>
    <row r="799" spans="1:16" x14ac:dyDescent="0.3">
      <c r="A799" t="s">
        <v>25</v>
      </c>
      <c r="B799" s="1">
        <v>45583.455682870372</v>
      </c>
      <c r="C799" t="str">
        <f t="shared" si="160"/>
        <v>41</v>
      </c>
      <c r="D799" t="s">
        <v>120</v>
      </c>
      <c r="E799" t="s">
        <v>116</v>
      </c>
      <c r="F799" t="s">
        <v>117</v>
      </c>
      <c r="H799" t="s">
        <v>276</v>
      </c>
      <c r="I799" t="str">
        <f>"101620000472474"</f>
        <v>101620000472474</v>
      </c>
      <c r="J799" t="str">
        <f t="shared" si="161"/>
        <v>127802</v>
      </c>
      <c r="K799" t="s">
        <v>6</v>
      </c>
      <c r="L799">
        <v>91</v>
      </c>
      <c r="M799">
        <v>91</v>
      </c>
      <c r="N799">
        <v>0</v>
      </c>
      <c r="O799" s="1">
        <v>45583.455682870372</v>
      </c>
      <c r="P799" t="s">
        <v>119</v>
      </c>
    </row>
    <row r="800" spans="1:16" x14ac:dyDescent="0.3">
      <c r="A800" t="s">
        <v>25</v>
      </c>
      <c r="B800" s="1">
        <v>45583.455682870372</v>
      </c>
      <c r="C800" t="str">
        <f t="shared" si="160"/>
        <v>41</v>
      </c>
      <c r="D800" t="s">
        <v>120</v>
      </c>
      <c r="E800" t="s">
        <v>116</v>
      </c>
      <c r="F800" t="s">
        <v>117</v>
      </c>
      <c r="H800" t="s">
        <v>276</v>
      </c>
      <c r="I800" t="str">
        <f>"101050002017214"</f>
        <v>101050002017214</v>
      </c>
      <c r="J800" t="str">
        <f t="shared" si="161"/>
        <v>127802</v>
      </c>
      <c r="K800" t="s">
        <v>6</v>
      </c>
      <c r="L800">
        <v>91</v>
      </c>
      <c r="M800">
        <v>91</v>
      </c>
      <c r="N800">
        <v>0</v>
      </c>
      <c r="O800" s="1">
        <v>45583.455682870372</v>
      </c>
      <c r="P800" t="s">
        <v>119</v>
      </c>
    </row>
    <row r="801" spans="1:16" x14ac:dyDescent="0.3">
      <c r="A801" t="s">
        <v>25</v>
      </c>
      <c r="B801" s="1">
        <v>45583.455682870372</v>
      </c>
      <c r="C801" t="str">
        <f t="shared" si="160"/>
        <v>41</v>
      </c>
      <c r="D801" t="s">
        <v>120</v>
      </c>
      <c r="E801" t="s">
        <v>116</v>
      </c>
      <c r="F801" t="s">
        <v>117</v>
      </c>
      <c r="H801" t="s">
        <v>276</v>
      </c>
      <c r="I801" t="str">
        <f>"101050002017636"</f>
        <v>101050002017636</v>
      </c>
      <c r="J801" t="str">
        <f t="shared" si="161"/>
        <v>127802</v>
      </c>
      <c r="K801" t="s">
        <v>6</v>
      </c>
      <c r="L801">
        <v>91</v>
      </c>
      <c r="M801">
        <v>91</v>
      </c>
      <c r="N801">
        <v>0</v>
      </c>
      <c r="O801" s="1">
        <v>45583.455682870372</v>
      </c>
      <c r="P801" t="s">
        <v>119</v>
      </c>
    </row>
    <row r="802" spans="1:16" x14ac:dyDescent="0.3">
      <c r="A802" t="s">
        <v>25</v>
      </c>
      <c r="B802" s="1">
        <v>45583.454375000001</v>
      </c>
      <c r="C802" t="str">
        <f>"38"</f>
        <v>38</v>
      </c>
      <c r="D802" t="s">
        <v>115</v>
      </c>
      <c r="E802" t="s">
        <v>116</v>
      </c>
      <c r="F802" t="s">
        <v>117</v>
      </c>
      <c r="H802" t="s">
        <v>277</v>
      </c>
      <c r="L802">
        <v>0</v>
      </c>
      <c r="M802">
        <v>0</v>
      </c>
      <c r="N802">
        <v>0</v>
      </c>
      <c r="O802" s="1">
        <v>45583.454375000001</v>
      </c>
      <c r="P802" t="s">
        <v>122</v>
      </c>
    </row>
    <row r="803" spans="1:16" x14ac:dyDescent="0.3">
      <c r="A803" t="s">
        <v>25</v>
      </c>
      <c r="B803" s="1">
        <v>45583.454375000001</v>
      </c>
      <c r="C803" t="str">
        <f>"41"</f>
        <v>41</v>
      </c>
      <c r="D803" t="s">
        <v>120</v>
      </c>
      <c r="E803" t="s">
        <v>116</v>
      </c>
      <c r="F803" t="s">
        <v>117</v>
      </c>
      <c r="H803" t="s">
        <v>277</v>
      </c>
      <c r="I803" t="str">
        <f>"101050002027485"</f>
        <v>101050002027485</v>
      </c>
      <c r="J803" t="str">
        <f>"127923"</f>
        <v>127923</v>
      </c>
      <c r="K803" t="s">
        <v>9</v>
      </c>
      <c r="L803">
        <v>91</v>
      </c>
      <c r="M803">
        <v>91</v>
      </c>
      <c r="N803">
        <v>0</v>
      </c>
      <c r="O803" s="1">
        <v>45583.454375000001</v>
      </c>
      <c r="P803" t="s">
        <v>122</v>
      </c>
    </row>
    <row r="804" spans="1:16" x14ac:dyDescent="0.3">
      <c r="A804" t="s">
        <v>25</v>
      </c>
      <c r="B804" s="1">
        <v>45583.454212962963</v>
      </c>
      <c r="C804" t="str">
        <f>"38"</f>
        <v>38</v>
      </c>
      <c r="D804" t="s">
        <v>115</v>
      </c>
      <c r="E804" t="s">
        <v>116</v>
      </c>
      <c r="F804" t="s">
        <v>117</v>
      </c>
      <c r="H804" t="s">
        <v>278</v>
      </c>
      <c r="L804">
        <v>0</v>
      </c>
      <c r="M804">
        <v>0</v>
      </c>
      <c r="N804">
        <v>0</v>
      </c>
      <c r="O804" s="1">
        <v>45583.454212962963</v>
      </c>
      <c r="P804" t="s">
        <v>119</v>
      </c>
    </row>
    <row r="805" spans="1:16" x14ac:dyDescent="0.3">
      <c r="A805" t="s">
        <v>25</v>
      </c>
      <c r="B805" s="1">
        <v>45583.454212962963</v>
      </c>
      <c r="C805" t="str">
        <f>"40"</f>
        <v>40</v>
      </c>
      <c r="D805" t="s">
        <v>220</v>
      </c>
      <c r="E805" t="s">
        <v>116</v>
      </c>
      <c r="F805" t="s">
        <v>117</v>
      </c>
      <c r="G805" t="s">
        <v>221</v>
      </c>
      <c r="H805" t="s">
        <v>278</v>
      </c>
      <c r="I805" t="str">
        <f>"101050002017370"</f>
        <v>101050002017370</v>
      </c>
      <c r="J805" t="str">
        <f>"515123"</f>
        <v>515123</v>
      </c>
      <c r="K805" t="s">
        <v>19</v>
      </c>
      <c r="L805">
        <v>49</v>
      </c>
      <c r="M805">
        <v>0</v>
      </c>
      <c r="N805">
        <v>-49</v>
      </c>
      <c r="O805" s="1">
        <v>45583.454212962963</v>
      </c>
      <c r="P805" t="s">
        <v>119</v>
      </c>
    </row>
    <row r="806" spans="1:16" x14ac:dyDescent="0.3">
      <c r="A806" t="s">
        <v>25</v>
      </c>
      <c r="B806" s="1">
        <v>45583.454212962963</v>
      </c>
      <c r="C806" t="str">
        <f>"41"</f>
        <v>41</v>
      </c>
      <c r="D806" t="s">
        <v>120</v>
      </c>
      <c r="E806" t="s">
        <v>116</v>
      </c>
      <c r="F806" t="s">
        <v>117</v>
      </c>
      <c r="H806" t="s">
        <v>278</v>
      </c>
      <c r="I806" t="str">
        <f>"101050002026931"</f>
        <v>101050002026931</v>
      </c>
      <c r="J806" t="str">
        <f>"515123"</f>
        <v>515123</v>
      </c>
      <c r="K806" t="s">
        <v>19</v>
      </c>
      <c r="L806">
        <v>49</v>
      </c>
      <c r="M806">
        <v>49</v>
      </c>
      <c r="N806">
        <v>0</v>
      </c>
      <c r="O806" s="1">
        <v>45583.454212962963</v>
      </c>
      <c r="P806" t="s">
        <v>119</v>
      </c>
    </row>
    <row r="807" spans="1:16" x14ac:dyDescent="0.3">
      <c r="A807" t="s">
        <v>25</v>
      </c>
      <c r="B807" s="1">
        <v>45583.453136574077</v>
      </c>
      <c r="C807" t="str">
        <f>"38"</f>
        <v>38</v>
      </c>
      <c r="D807" t="s">
        <v>115</v>
      </c>
      <c r="E807" t="s">
        <v>116</v>
      </c>
      <c r="F807" t="s">
        <v>117</v>
      </c>
      <c r="H807" t="s">
        <v>279</v>
      </c>
      <c r="L807">
        <v>0</v>
      </c>
      <c r="M807">
        <v>0</v>
      </c>
      <c r="N807">
        <v>0</v>
      </c>
      <c r="O807" s="1">
        <v>45583.453136574077</v>
      </c>
      <c r="P807" t="s">
        <v>122</v>
      </c>
    </row>
    <row r="808" spans="1:16" x14ac:dyDescent="0.3">
      <c r="A808" t="s">
        <v>25</v>
      </c>
      <c r="B808" s="1">
        <v>45583.453136574077</v>
      </c>
      <c r="C808" t="str">
        <f>"41"</f>
        <v>41</v>
      </c>
      <c r="D808" t="s">
        <v>120</v>
      </c>
      <c r="E808" t="s">
        <v>116</v>
      </c>
      <c r="F808" t="s">
        <v>117</v>
      </c>
      <c r="H808" t="s">
        <v>279</v>
      </c>
      <c r="I808" t="str">
        <f>"101050002021622"</f>
        <v>101050002021622</v>
      </c>
      <c r="J808" t="str">
        <f>"514913"</f>
        <v>514913</v>
      </c>
      <c r="K808" t="s">
        <v>93</v>
      </c>
      <c r="L808">
        <v>91</v>
      </c>
      <c r="M808">
        <v>91</v>
      </c>
      <c r="N808">
        <v>0</v>
      </c>
      <c r="O808" s="1">
        <v>45583.453136574077</v>
      </c>
      <c r="P808" t="s">
        <v>122</v>
      </c>
    </row>
    <row r="809" spans="1:16" x14ac:dyDescent="0.3">
      <c r="A809" t="s">
        <v>25</v>
      </c>
      <c r="B809" s="1">
        <v>45583.453136574077</v>
      </c>
      <c r="C809" t="str">
        <f>"41"</f>
        <v>41</v>
      </c>
      <c r="D809" t="s">
        <v>120</v>
      </c>
      <c r="E809" t="s">
        <v>116</v>
      </c>
      <c r="F809" t="s">
        <v>117</v>
      </c>
      <c r="H809" t="s">
        <v>279</v>
      </c>
      <c r="I809" t="str">
        <f>"101050002021597"</f>
        <v>101050002021597</v>
      </c>
      <c r="J809" t="str">
        <f>"514913"</f>
        <v>514913</v>
      </c>
      <c r="K809" t="s">
        <v>93</v>
      </c>
      <c r="L809">
        <v>91</v>
      </c>
      <c r="M809">
        <v>91</v>
      </c>
      <c r="N809">
        <v>0</v>
      </c>
      <c r="O809" s="1">
        <v>45583.453136574077</v>
      </c>
      <c r="P809" t="s">
        <v>122</v>
      </c>
    </row>
    <row r="810" spans="1:16" x14ac:dyDescent="0.3">
      <c r="A810" t="s">
        <v>25</v>
      </c>
      <c r="B810" s="1">
        <v>45583.453125</v>
      </c>
      <c r="C810" t="str">
        <f>"41"</f>
        <v>41</v>
      </c>
      <c r="D810" t="s">
        <v>120</v>
      </c>
      <c r="E810" t="s">
        <v>116</v>
      </c>
      <c r="F810" t="s">
        <v>117</v>
      </c>
      <c r="H810" t="s">
        <v>279</v>
      </c>
      <c r="I810" t="str">
        <f>"101050002020182"</f>
        <v>101050002020182</v>
      </c>
      <c r="J810" t="str">
        <f>"514913"</f>
        <v>514913</v>
      </c>
      <c r="K810" t="s">
        <v>93</v>
      </c>
      <c r="L810">
        <v>91</v>
      </c>
      <c r="M810">
        <v>91</v>
      </c>
      <c r="N810">
        <v>0</v>
      </c>
      <c r="O810" s="1">
        <v>45583.453125</v>
      </c>
      <c r="P810" t="s">
        <v>122</v>
      </c>
    </row>
    <row r="811" spans="1:16" x14ac:dyDescent="0.3">
      <c r="A811" t="s">
        <v>25</v>
      </c>
      <c r="B811" s="1">
        <v>45583.453125</v>
      </c>
      <c r="C811" t="str">
        <f>"41"</f>
        <v>41</v>
      </c>
      <c r="D811" t="s">
        <v>120</v>
      </c>
      <c r="E811" t="s">
        <v>116</v>
      </c>
      <c r="F811" t="s">
        <v>117</v>
      </c>
      <c r="H811" t="s">
        <v>279</v>
      </c>
      <c r="I811" t="str">
        <f>"101050002020157"</f>
        <v>101050002020157</v>
      </c>
      <c r="J811" t="str">
        <f>"514913"</f>
        <v>514913</v>
      </c>
      <c r="K811" t="s">
        <v>93</v>
      </c>
      <c r="L811">
        <v>91</v>
      </c>
      <c r="M811">
        <v>91</v>
      </c>
      <c r="N811">
        <v>0</v>
      </c>
      <c r="O811" s="1">
        <v>45583.453125</v>
      </c>
      <c r="P811" t="s">
        <v>122</v>
      </c>
    </row>
    <row r="812" spans="1:16" x14ac:dyDescent="0.3">
      <c r="A812" t="s">
        <v>25</v>
      </c>
      <c r="B812" s="1">
        <v>45583.452407407407</v>
      </c>
      <c r="C812" t="str">
        <f>"38"</f>
        <v>38</v>
      </c>
      <c r="D812" t="s">
        <v>115</v>
      </c>
      <c r="E812" t="s">
        <v>116</v>
      </c>
      <c r="F812" t="s">
        <v>117</v>
      </c>
      <c r="H812" t="s">
        <v>280</v>
      </c>
      <c r="L812">
        <v>0</v>
      </c>
      <c r="M812">
        <v>0</v>
      </c>
      <c r="N812">
        <v>0</v>
      </c>
      <c r="O812" s="1">
        <v>45583.452407407407</v>
      </c>
      <c r="P812" t="s">
        <v>119</v>
      </c>
    </row>
    <row r="813" spans="1:16" x14ac:dyDescent="0.3">
      <c r="A813" t="s">
        <v>25</v>
      </c>
      <c r="B813" s="1">
        <v>45583.452407407407</v>
      </c>
      <c r="C813" t="str">
        <f t="shared" ref="C813:C819" si="162">"41"</f>
        <v>41</v>
      </c>
      <c r="D813" t="s">
        <v>120</v>
      </c>
      <c r="E813" t="s">
        <v>116</v>
      </c>
      <c r="F813" t="s">
        <v>117</v>
      </c>
      <c r="H813" t="s">
        <v>280</v>
      </c>
      <c r="I813" t="str">
        <f>"101050002025045"</f>
        <v>101050002025045</v>
      </c>
      <c r="J813" t="str">
        <f t="shared" ref="J813:J819" si="163">"515120"</f>
        <v>515120</v>
      </c>
      <c r="K813" t="s">
        <v>2</v>
      </c>
      <c r="L813">
        <v>49</v>
      </c>
      <c r="M813">
        <v>49</v>
      </c>
      <c r="N813">
        <v>0</v>
      </c>
      <c r="O813" s="1">
        <v>45583.452407407407</v>
      </c>
      <c r="P813" t="s">
        <v>119</v>
      </c>
    </row>
    <row r="814" spans="1:16" x14ac:dyDescent="0.3">
      <c r="A814" t="s">
        <v>25</v>
      </c>
      <c r="B814" s="1">
        <v>45583.452407407407</v>
      </c>
      <c r="C814" t="str">
        <f t="shared" si="162"/>
        <v>41</v>
      </c>
      <c r="D814" t="s">
        <v>120</v>
      </c>
      <c r="E814" t="s">
        <v>116</v>
      </c>
      <c r="F814" t="s">
        <v>117</v>
      </c>
      <c r="H814" t="s">
        <v>280</v>
      </c>
      <c r="I814" t="str">
        <f>"101050002025758"</f>
        <v>101050002025758</v>
      </c>
      <c r="J814" t="str">
        <f t="shared" si="163"/>
        <v>515120</v>
      </c>
      <c r="K814" t="s">
        <v>2</v>
      </c>
      <c r="L814">
        <v>49</v>
      </c>
      <c r="M814">
        <v>49</v>
      </c>
      <c r="N814">
        <v>0</v>
      </c>
      <c r="O814" s="1">
        <v>45583.452407407407</v>
      </c>
      <c r="P814" t="s">
        <v>119</v>
      </c>
    </row>
    <row r="815" spans="1:16" x14ac:dyDescent="0.3">
      <c r="A815" t="s">
        <v>25</v>
      </c>
      <c r="B815" s="1">
        <v>45583.452407407407</v>
      </c>
      <c r="C815" t="str">
        <f t="shared" si="162"/>
        <v>41</v>
      </c>
      <c r="D815" t="s">
        <v>120</v>
      </c>
      <c r="E815" t="s">
        <v>116</v>
      </c>
      <c r="F815" t="s">
        <v>117</v>
      </c>
      <c r="H815" t="s">
        <v>280</v>
      </c>
      <c r="I815" t="str">
        <f>"101050002025742"</f>
        <v>101050002025742</v>
      </c>
      <c r="J815" t="str">
        <f t="shared" si="163"/>
        <v>515120</v>
      </c>
      <c r="K815" t="s">
        <v>2</v>
      </c>
      <c r="L815">
        <v>49</v>
      </c>
      <c r="M815">
        <v>49</v>
      </c>
      <c r="N815">
        <v>0</v>
      </c>
      <c r="O815" s="1">
        <v>45583.452407407407</v>
      </c>
      <c r="P815" t="s">
        <v>119</v>
      </c>
    </row>
    <row r="816" spans="1:16" x14ac:dyDescent="0.3">
      <c r="A816" t="s">
        <v>25</v>
      </c>
      <c r="B816" s="1">
        <v>45583.452407407407</v>
      </c>
      <c r="C816" t="str">
        <f t="shared" si="162"/>
        <v>41</v>
      </c>
      <c r="D816" t="s">
        <v>120</v>
      </c>
      <c r="E816" t="s">
        <v>116</v>
      </c>
      <c r="F816" t="s">
        <v>117</v>
      </c>
      <c r="H816" t="s">
        <v>280</v>
      </c>
      <c r="I816" t="str">
        <f>"101050002025138"</f>
        <v>101050002025138</v>
      </c>
      <c r="J816" t="str">
        <f t="shared" si="163"/>
        <v>515120</v>
      </c>
      <c r="K816" t="s">
        <v>2</v>
      </c>
      <c r="L816">
        <v>49</v>
      </c>
      <c r="M816">
        <v>49</v>
      </c>
      <c r="N816">
        <v>0</v>
      </c>
      <c r="O816" s="1">
        <v>45583.452407407407</v>
      </c>
      <c r="P816" t="s">
        <v>119</v>
      </c>
    </row>
    <row r="817" spans="1:16" x14ac:dyDescent="0.3">
      <c r="A817" t="s">
        <v>25</v>
      </c>
      <c r="B817" s="1">
        <v>45583.452407407407</v>
      </c>
      <c r="C817" t="str">
        <f t="shared" si="162"/>
        <v>41</v>
      </c>
      <c r="D817" t="s">
        <v>120</v>
      </c>
      <c r="E817" t="s">
        <v>116</v>
      </c>
      <c r="F817" t="s">
        <v>117</v>
      </c>
      <c r="H817" t="s">
        <v>280</v>
      </c>
      <c r="I817" t="str">
        <f>"101050002025071"</f>
        <v>101050002025071</v>
      </c>
      <c r="J817" t="str">
        <f t="shared" si="163"/>
        <v>515120</v>
      </c>
      <c r="K817" t="s">
        <v>2</v>
      </c>
      <c r="L817">
        <v>49</v>
      </c>
      <c r="M817">
        <v>49</v>
      </c>
      <c r="N817">
        <v>0</v>
      </c>
      <c r="O817" s="1">
        <v>45583.452407407407</v>
      </c>
      <c r="P817" t="s">
        <v>119</v>
      </c>
    </row>
    <row r="818" spans="1:16" x14ac:dyDescent="0.3">
      <c r="A818" t="s">
        <v>25</v>
      </c>
      <c r="B818" s="1">
        <v>45583.452407407407</v>
      </c>
      <c r="C818" t="str">
        <f t="shared" si="162"/>
        <v>41</v>
      </c>
      <c r="D818" t="s">
        <v>120</v>
      </c>
      <c r="E818" t="s">
        <v>116</v>
      </c>
      <c r="F818" t="s">
        <v>117</v>
      </c>
      <c r="H818" t="s">
        <v>280</v>
      </c>
      <c r="I818" t="str">
        <f>"101050002024987"</f>
        <v>101050002024987</v>
      </c>
      <c r="J818" t="str">
        <f t="shared" si="163"/>
        <v>515120</v>
      </c>
      <c r="K818" t="s">
        <v>2</v>
      </c>
      <c r="L818">
        <v>49</v>
      </c>
      <c r="M818">
        <v>49</v>
      </c>
      <c r="N818">
        <v>0</v>
      </c>
      <c r="O818" s="1">
        <v>45583.452407407407</v>
      </c>
      <c r="P818" t="s">
        <v>119</v>
      </c>
    </row>
    <row r="819" spans="1:16" x14ac:dyDescent="0.3">
      <c r="A819" t="s">
        <v>25</v>
      </c>
      <c r="B819" s="1">
        <v>45583.45239583333</v>
      </c>
      <c r="C819" t="str">
        <f t="shared" si="162"/>
        <v>41</v>
      </c>
      <c r="D819" t="s">
        <v>120</v>
      </c>
      <c r="E819" t="s">
        <v>116</v>
      </c>
      <c r="F819" t="s">
        <v>117</v>
      </c>
      <c r="H819" t="s">
        <v>280</v>
      </c>
      <c r="I819" t="str">
        <f>"101050002024860"</f>
        <v>101050002024860</v>
      </c>
      <c r="J819" t="str">
        <f t="shared" si="163"/>
        <v>515120</v>
      </c>
      <c r="K819" t="s">
        <v>2</v>
      </c>
      <c r="L819">
        <v>49</v>
      </c>
      <c r="M819">
        <v>49</v>
      </c>
      <c r="N819">
        <v>0</v>
      </c>
      <c r="O819" s="1">
        <v>45583.45239583333</v>
      </c>
      <c r="P819" t="s">
        <v>119</v>
      </c>
    </row>
    <row r="820" spans="1:16" x14ac:dyDescent="0.3">
      <c r="A820" t="s">
        <v>25</v>
      </c>
      <c r="B820" s="1">
        <v>45583.451111111113</v>
      </c>
      <c r="C820" t="str">
        <f>"38"</f>
        <v>38</v>
      </c>
      <c r="D820" t="s">
        <v>115</v>
      </c>
      <c r="E820" t="s">
        <v>116</v>
      </c>
      <c r="F820" t="s">
        <v>117</v>
      </c>
      <c r="H820" t="s">
        <v>281</v>
      </c>
      <c r="L820">
        <v>0</v>
      </c>
      <c r="M820">
        <v>0</v>
      </c>
      <c r="N820">
        <v>0</v>
      </c>
      <c r="O820" s="1">
        <v>45583.451111111113</v>
      </c>
      <c r="P820" t="s">
        <v>138</v>
      </c>
    </row>
    <row r="821" spans="1:16" x14ac:dyDescent="0.3">
      <c r="A821" t="s">
        <v>25</v>
      </c>
      <c r="B821" s="1">
        <v>45583.451111111113</v>
      </c>
      <c r="C821" t="str">
        <f t="shared" ref="C821:C827" si="164">"41"</f>
        <v>41</v>
      </c>
      <c r="D821" t="s">
        <v>120</v>
      </c>
      <c r="E821" t="s">
        <v>116</v>
      </c>
      <c r="F821" t="s">
        <v>117</v>
      </c>
      <c r="H821" t="s">
        <v>281</v>
      </c>
      <c r="I821" t="str">
        <f>"101050002027489"</f>
        <v>101050002027489</v>
      </c>
      <c r="J821" t="str">
        <f t="shared" ref="J821:J827" si="165">"515122"</f>
        <v>515122</v>
      </c>
      <c r="K821" t="s">
        <v>4</v>
      </c>
      <c r="L821">
        <v>49</v>
      </c>
      <c r="M821">
        <v>49</v>
      </c>
      <c r="N821">
        <v>0</v>
      </c>
      <c r="O821" s="1">
        <v>45583.451111111113</v>
      </c>
      <c r="P821" t="s">
        <v>138</v>
      </c>
    </row>
    <row r="822" spans="1:16" x14ac:dyDescent="0.3">
      <c r="A822" t="s">
        <v>25</v>
      </c>
      <c r="B822" s="1">
        <v>45583.451111111113</v>
      </c>
      <c r="C822" t="str">
        <f t="shared" si="164"/>
        <v>41</v>
      </c>
      <c r="D822" t="s">
        <v>120</v>
      </c>
      <c r="E822" t="s">
        <v>116</v>
      </c>
      <c r="F822" t="s">
        <v>117</v>
      </c>
      <c r="H822" t="s">
        <v>281</v>
      </c>
      <c r="I822" t="str">
        <f>"101050002027473"</f>
        <v>101050002027473</v>
      </c>
      <c r="J822" t="str">
        <f t="shared" si="165"/>
        <v>515122</v>
      </c>
      <c r="K822" t="s">
        <v>4</v>
      </c>
      <c r="L822">
        <v>49</v>
      </c>
      <c r="M822">
        <v>49</v>
      </c>
      <c r="N822">
        <v>0</v>
      </c>
      <c r="O822" s="1">
        <v>45583.451111111113</v>
      </c>
      <c r="P822" t="s">
        <v>138</v>
      </c>
    </row>
    <row r="823" spans="1:16" x14ac:dyDescent="0.3">
      <c r="A823" t="s">
        <v>25</v>
      </c>
      <c r="B823" s="1">
        <v>45583.451111111113</v>
      </c>
      <c r="C823" t="str">
        <f t="shared" si="164"/>
        <v>41</v>
      </c>
      <c r="D823" t="s">
        <v>120</v>
      </c>
      <c r="E823" t="s">
        <v>116</v>
      </c>
      <c r="F823" t="s">
        <v>117</v>
      </c>
      <c r="H823" t="s">
        <v>281</v>
      </c>
      <c r="I823" t="str">
        <f>"101050002027474"</f>
        <v>101050002027474</v>
      </c>
      <c r="J823" t="str">
        <f t="shared" si="165"/>
        <v>515122</v>
      </c>
      <c r="K823" t="s">
        <v>4</v>
      </c>
      <c r="L823">
        <v>49</v>
      </c>
      <c r="M823">
        <v>49</v>
      </c>
      <c r="N823">
        <v>0</v>
      </c>
      <c r="O823" s="1">
        <v>45583.451111111113</v>
      </c>
      <c r="P823" t="s">
        <v>138</v>
      </c>
    </row>
    <row r="824" spans="1:16" x14ac:dyDescent="0.3">
      <c r="A824" t="s">
        <v>25</v>
      </c>
      <c r="B824" s="1">
        <v>45583.451111111113</v>
      </c>
      <c r="C824" t="str">
        <f t="shared" si="164"/>
        <v>41</v>
      </c>
      <c r="D824" t="s">
        <v>120</v>
      </c>
      <c r="E824" t="s">
        <v>116</v>
      </c>
      <c r="F824" t="s">
        <v>117</v>
      </c>
      <c r="H824" t="s">
        <v>281</v>
      </c>
      <c r="I824" t="str">
        <f>"101050002026060"</f>
        <v>101050002026060</v>
      </c>
      <c r="J824" t="str">
        <f t="shared" si="165"/>
        <v>515122</v>
      </c>
      <c r="K824" t="s">
        <v>4</v>
      </c>
      <c r="L824">
        <v>49</v>
      </c>
      <c r="M824">
        <v>49</v>
      </c>
      <c r="N824">
        <v>0</v>
      </c>
      <c r="O824" s="1">
        <v>45583.451111111113</v>
      </c>
      <c r="P824" t="s">
        <v>138</v>
      </c>
    </row>
    <row r="825" spans="1:16" x14ac:dyDescent="0.3">
      <c r="A825" t="s">
        <v>25</v>
      </c>
      <c r="B825" s="1">
        <v>45583.451111111113</v>
      </c>
      <c r="C825" t="str">
        <f t="shared" si="164"/>
        <v>41</v>
      </c>
      <c r="D825" t="s">
        <v>120</v>
      </c>
      <c r="E825" t="s">
        <v>116</v>
      </c>
      <c r="F825" t="s">
        <v>117</v>
      </c>
      <c r="H825" t="s">
        <v>281</v>
      </c>
      <c r="I825" t="str">
        <f>"101050002027045"</f>
        <v>101050002027045</v>
      </c>
      <c r="J825" t="str">
        <f t="shared" si="165"/>
        <v>515122</v>
      </c>
      <c r="K825" t="s">
        <v>4</v>
      </c>
      <c r="L825">
        <v>49</v>
      </c>
      <c r="M825">
        <v>49</v>
      </c>
      <c r="N825">
        <v>0</v>
      </c>
      <c r="O825" s="1">
        <v>45583.451111111113</v>
      </c>
      <c r="P825" t="s">
        <v>138</v>
      </c>
    </row>
    <row r="826" spans="1:16" x14ac:dyDescent="0.3">
      <c r="A826" t="s">
        <v>25</v>
      </c>
      <c r="B826" s="1">
        <v>45583.451099537036</v>
      </c>
      <c r="C826" t="str">
        <f t="shared" si="164"/>
        <v>41</v>
      </c>
      <c r="D826" t="s">
        <v>120</v>
      </c>
      <c r="E826" t="s">
        <v>116</v>
      </c>
      <c r="F826" t="s">
        <v>117</v>
      </c>
      <c r="H826" t="s">
        <v>281</v>
      </c>
      <c r="I826" t="str">
        <f>"101050002021789"</f>
        <v>101050002021789</v>
      </c>
      <c r="J826" t="str">
        <f t="shared" si="165"/>
        <v>515122</v>
      </c>
      <c r="K826" t="s">
        <v>4</v>
      </c>
      <c r="L826">
        <v>49</v>
      </c>
      <c r="M826">
        <v>49</v>
      </c>
      <c r="N826">
        <v>0</v>
      </c>
      <c r="O826" s="1">
        <v>45583.451099537036</v>
      </c>
      <c r="P826" t="s">
        <v>138</v>
      </c>
    </row>
    <row r="827" spans="1:16" x14ac:dyDescent="0.3">
      <c r="A827" t="s">
        <v>25</v>
      </c>
      <c r="B827" s="1">
        <v>45583.451099537036</v>
      </c>
      <c r="C827" t="str">
        <f t="shared" si="164"/>
        <v>41</v>
      </c>
      <c r="D827" t="s">
        <v>120</v>
      </c>
      <c r="E827" t="s">
        <v>116</v>
      </c>
      <c r="F827" t="s">
        <v>117</v>
      </c>
      <c r="H827" t="s">
        <v>281</v>
      </c>
      <c r="I827" t="str">
        <f>"101050002021770"</f>
        <v>101050002021770</v>
      </c>
      <c r="J827" t="str">
        <f t="shared" si="165"/>
        <v>515122</v>
      </c>
      <c r="K827" t="s">
        <v>4</v>
      </c>
      <c r="L827">
        <v>49</v>
      </c>
      <c r="M827">
        <v>49</v>
      </c>
      <c r="N827">
        <v>0</v>
      </c>
      <c r="O827" s="1">
        <v>45583.451099537036</v>
      </c>
      <c r="P827" t="s">
        <v>138</v>
      </c>
    </row>
    <row r="828" spans="1:16" x14ac:dyDescent="0.3">
      <c r="A828" t="s">
        <v>25</v>
      </c>
      <c r="B828" s="1">
        <v>45583.449548611112</v>
      </c>
      <c r="C828" t="str">
        <f>"38"</f>
        <v>38</v>
      </c>
      <c r="D828" t="s">
        <v>115</v>
      </c>
      <c r="E828" t="s">
        <v>116</v>
      </c>
      <c r="F828" t="s">
        <v>117</v>
      </c>
      <c r="H828" t="s">
        <v>282</v>
      </c>
      <c r="L828">
        <v>0</v>
      </c>
      <c r="M828">
        <v>0</v>
      </c>
      <c r="N828">
        <v>0</v>
      </c>
      <c r="O828" s="1">
        <v>45583.449548611112</v>
      </c>
      <c r="P828" t="s">
        <v>119</v>
      </c>
    </row>
    <row r="829" spans="1:16" x14ac:dyDescent="0.3">
      <c r="A829" t="s">
        <v>25</v>
      </c>
      <c r="B829" s="1">
        <v>45583.449548611112</v>
      </c>
      <c r="C829" t="str">
        <f t="shared" ref="C829:C835" si="166">"41"</f>
        <v>41</v>
      </c>
      <c r="D829" t="s">
        <v>120</v>
      </c>
      <c r="E829" t="s">
        <v>116</v>
      </c>
      <c r="F829" t="s">
        <v>117</v>
      </c>
      <c r="H829" t="s">
        <v>282</v>
      </c>
      <c r="I829" t="str">
        <f>"101050002017736"</f>
        <v>101050002017736</v>
      </c>
      <c r="J829" t="str">
        <f t="shared" ref="J829:J835" si="167">"515123"</f>
        <v>515123</v>
      </c>
      <c r="K829" t="s">
        <v>19</v>
      </c>
      <c r="L829">
        <v>49</v>
      </c>
      <c r="M829">
        <v>49</v>
      </c>
      <c r="N829">
        <v>0</v>
      </c>
      <c r="O829" s="1">
        <v>45583.449548611112</v>
      </c>
      <c r="P829" t="s">
        <v>119</v>
      </c>
    </row>
    <row r="830" spans="1:16" x14ac:dyDescent="0.3">
      <c r="A830" t="s">
        <v>25</v>
      </c>
      <c r="B830" s="1">
        <v>45583.449548611112</v>
      </c>
      <c r="C830" t="str">
        <f t="shared" si="166"/>
        <v>41</v>
      </c>
      <c r="D830" t="s">
        <v>120</v>
      </c>
      <c r="E830" t="s">
        <v>116</v>
      </c>
      <c r="F830" t="s">
        <v>117</v>
      </c>
      <c r="H830" t="s">
        <v>282</v>
      </c>
      <c r="I830" t="str">
        <f>"101050002018031"</f>
        <v>101050002018031</v>
      </c>
      <c r="J830" t="str">
        <f t="shared" si="167"/>
        <v>515123</v>
      </c>
      <c r="K830" t="s">
        <v>19</v>
      </c>
      <c r="L830">
        <v>49</v>
      </c>
      <c r="M830">
        <v>49</v>
      </c>
      <c r="N830">
        <v>0</v>
      </c>
      <c r="O830" s="1">
        <v>45583.449548611112</v>
      </c>
      <c r="P830" t="s">
        <v>119</v>
      </c>
    </row>
    <row r="831" spans="1:16" x14ac:dyDescent="0.3">
      <c r="A831" t="s">
        <v>25</v>
      </c>
      <c r="B831" s="1">
        <v>45583.449548611112</v>
      </c>
      <c r="C831" t="str">
        <f t="shared" si="166"/>
        <v>41</v>
      </c>
      <c r="D831" t="s">
        <v>120</v>
      </c>
      <c r="E831" t="s">
        <v>116</v>
      </c>
      <c r="F831" t="s">
        <v>117</v>
      </c>
      <c r="H831" t="s">
        <v>282</v>
      </c>
      <c r="I831" t="str">
        <f>"101050002017949"</f>
        <v>101050002017949</v>
      </c>
      <c r="J831" t="str">
        <f t="shared" si="167"/>
        <v>515123</v>
      </c>
      <c r="K831" t="s">
        <v>19</v>
      </c>
      <c r="L831">
        <v>49</v>
      </c>
      <c r="M831">
        <v>49</v>
      </c>
      <c r="N831">
        <v>0</v>
      </c>
      <c r="O831" s="1">
        <v>45583.449548611112</v>
      </c>
      <c r="P831" t="s">
        <v>119</v>
      </c>
    </row>
    <row r="832" spans="1:16" x14ac:dyDescent="0.3">
      <c r="A832" t="s">
        <v>25</v>
      </c>
      <c r="B832" s="1">
        <v>45583.449548611112</v>
      </c>
      <c r="C832" t="str">
        <f t="shared" si="166"/>
        <v>41</v>
      </c>
      <c r="D832" t="s">
        <v>120</v>
      </c>
      <c r="E832" t="s">
        <v>116</v>
      </c>
      <c r="F832" t="s">
        <v>117</v>
      </c>
      <c r="H832" t="s">
        <v>282</v>
      </c>
      <c r="I832" t="str">
        <f>"101050002018432"</f>
        <v>101050002018432</v>
      </c>
      <c r="J832" t="str">
        <f t="shared" si="167"/>
        <v>515123</v>
      </c>
      <c r="K832" t="s">
        <v>19</v>
      </c>
      <c r="L832">
        <v>49</v>
      </c>
      <c r="M832">
        <v>49</v>
      </c>
      <c r="N832">
        <v>0</v>
      </c>
      <c r="O832" s="1">
        <v>45583.449548611112</v>
      </c>
      <c r="P832" t="s">
        <v>119</v>
      </c>
    </row>
    <row r="833" spans="1:16" x14ac:dyDescent="0.3">
      <c r="A833" t="s">
        <v>25</v>
      </c>
      <c r="B833" s="1">
        <v>45583.449548611112</v>
      </c>
      <c r="C833" t="str">
        <f t="shared" si="166"/>
        <v>41</v>
      </c>
      <c r="D833" t="s">
        <v>120</v>
      </c>
      <c r="E833" t="s">
        <v>116</v>
      </c>
      <c r="F833" t="s">
        <v>117</v>
      </c>
      <c r="H833" t="s">
        <v>282</v>
      </c>
      <c r="I833" t="str">
        <f>"101050002016625"</f>
        <v>101050002016625</v>
      </c>
      <c r="J833" t="str">
        <f t="shared" si="167"/>
        <v>515123</v>
      </c>
      <c r="K833" t="s">
        <v>19</v>
      </c>
      <c r="L833">
        <v>49</v>
      </c>
      <c r="M833">
        <v>49</v>
      </c>
      <c r="N833">
        <v>0</v>
      </c>
      <c r="O833" s="1">
        <v>45583.449548611112</v>
      </c>
      <c r="P833" t="s">
        <v>119</v>
      </c>
    </row>
    <row r="834" spans="1:16" x14ac:dyDescent="0.3">
      <c r="A834" t="s">
        <v>25</v>
      </c>
      <c r="B834" s="1">
        <v>45583.449548611112</v>
      </c>
      <c r="C834" t="str">
        <f t="shared" si="166"/>
        <v>41</v>
      </c>
      <c r="D834" t="s">
        <v>120</v>
      </c>
      <c r="E834" t="s">
        <v>116</v>
      </c>
      <c r="F834" t="s">
        <v>117</v>
      </c>
      <c r="H834" t="s">
        <v>282</v>
      </c>
      <c r="I834" t="str">
        <f>"101050002017741"</f>
        <v>101050002017741</v>
      </c>
      <c r="J834" t="str">
        <f t="shared" si="167"/>
        <v>515123</v>
      </c>
      <c r="K834" t="s">
        <v>19</v>
      </c>
      <c r="L834">
        <v>49</v>
      </c>
      <c r="M834">
        <v>49</v>
      </c>
      <c r="N834">
        <v>0</v>
      </c>
      <c r="O834" s="1">
        <v>45583.449548611112</v>
      </c>
      <c r="P834" t="s">
        <v>119</v>
      </c>
    </row>
    <row r="835" spans="1:16" x14ac:dyDescent="0.3">
      <c r="A835" t="s">
        <v>25</v>
      </c>
      <c r="B835" s="1">
        <v>45583.449537037035</v>
      </c>
      <c r="C835" t="str">
        <f t="shared" si="166"/>
        <v>41</v>
      </c>
      <c r="D835" t="s">
        <v>120</v>
      </c>
      <c r="E835" t="s">
        <v>116</v>
      </c>
      <c r="F835" t="s">
        <v>117</v>
      </c>
      <c r="H835" t="s">
        <v>282</v>
      </c>
      <c r="I835" t="str">
        <f>"101050002017740"</f>
        <v>101050002017740</v>
      </c>
      <c r="J835" t="str">
        <f t="shared" si="167"/>
        <v>515123</v>
      </c>
      <c r="K835" t="s">
        <v>19</v>
      </c>
      <c r="L835">
        <v>49</v>
      </c>
      <c r="M835">
        <v>49</v>
      </c>
      <c r="N835">
        <v>0</v>
      </c>
      <c r="O835" s="1">
        <v>45583.449537037035</v>
      </c>
      <c r="P835" t="s">
        <v>119</v>
      </c>
    </row>
    <row r="836" spans="1:16" x14ac:dyDescent="0.3">
      <c r="A836" t="s">
        <v>25</v>
      </c>
      <c r="B836" s="1">
        <v>45583.379872685182</v>
      </c>
      <c r="C836" t="str">
        <f>"38"</f>
        <v>38</v>
      </c>
      <c r="D836" t="s">
        <v>115</v>
      </c>
      <c r="E836" t="s">
        <v>116</v>
      </c>
      <c r="F836" t="s">
        <v>117</v>
      </c>
      <c r="H836" t="s">
        <v>283</v>
      </c>
      <c r="L836">
        <v>0</v>
      </c>
      <c r="M836">
        <v>0</v>
      </c>
      <c r="N836">
        <v>0</v>
      </c>
      <c r="O836" s="1">
        <v>45583.379872685182</v>
      </c>
      <c r="P836" t="s">
        <v>119</v>
      </c>
    </row>
    <row r="837" spans="1:16" x14ac:dyDescent="0.3">
      <c r="A837" t="s">
        <v>25</v>
      </c>
      <c r="B837" s="1">
        <v>45583.379872685182</v>
      </c>
      <c r="C837" t="str">
        <f>"41"</f>
        <v>41</v>
      </c>
      <c r="D837" t="s">
        <v>120</v>
      </c>
      <c r="E837" t="s">
        <v>116</v>
      </c>
      <c r="F837" t="s">
        <v>117</v>
      </c>
      <c r="H837" t="s">
        <v>283</v>
      </c>
      <c r="I837" t="str">
        <f>"101050002021821"</f>
        <v>101050002021821</v>
      </c>
      <c r="J837" t="str">
        <f>"514913"</f>
        <v>514913</v>
      </c>
      <c r="K837" t="s">
        <v>93</v>
      </c>
      <c r="L837">
        <v>91</v>
      </c>
      <c r="M837">
        <v>91</v>
      </c>
      <c r="N837">
        <v>0</v>
      </c>
      <c r="O837" s="1">
        <v>45583.379872685182</v>
      </c>
      <c r="P837" t="s">
        <v>119</v>
      </c>
    </row>
    <row r="838" spans="1:16" x14ac:dyDescent="0.3">
      <c r="A838" t="s">
        <v>25</v>
      </c>
      <c r="B838" s="1">
        <v>45583.379872685182</v>
      </c>
      <c r="C838" t="str">
        <f>"41"</f>
        <v>41</v>
      </c>
      <c r="D838" t="s">
        <v>120</v>
      </c>
      <c r="E838" t="s">
        <v>116</v>
      </c>
      <c r="F838" t="s">
        <v>117</v>
      </c>
      <c r="H838" t="s">
        <v>283</v>
      </c>
      <c r="I838" t="str">
        <f>"101050002021822"</f>
        <v>101050002021822</v>
      </c>
      <c r="J838" t="str">
        <f>"514913"</f>
        <v>514913</v>
      </c>
      <c r="K838" t="s">
        <v>93</v>
      </c>
      <c r="L838">
        <v>91</v>
      </c>
      <c r="M838">
        <v>91</v>
      </c>
      <c r="N838">
        <v>0</v>
      </c>
      <c r="O838" s="1">
        <v>45583.379872685182</v>
      </c>
      <c r="P838" t="s">
        <v>119</v>
      </c>
    </row>
    <row r="839" spans="1:16" x14ac:dyDescent="0.3">
      <c r="A839" t="s">
        <v>25</v>
      </c>
      <c r="B839" s="1">
        <v>45583.379872685182</v>
      </c>
      <c r="C839" t="str">
        <f>"41"</f>
        <v>41</v>
      </c>
      <c r="D839" t="s">
        <v>120</v>
      </c>
      <c r="E839" t="s">
        <v>116</v>
      </c>
      <c r="F839" t="s">
        <v>117</v>
      </c>
      <c r="H839" t="s">
        <v>283</v>
      </c>
      <c r="I839" t="str">
        <f>"101050002021721"</f>
        <v>101050002021721</v>
      </c>
      <c r="J839" t="str">
        <f>"514913"</f>
        <v>514913</v>
      </c>
      <c r="K839" t="s">
        <v>93</v>
      </c>
      <c r="L839">
        <v>91</v>
      </c>
      <c r="M839">
        <v>91</v>
      </c>
      <c r="N839">
        <v>0</v>
      </c>
      <c r="O839" s="1">
        <v>45583.379872685182</v>
      </c>
      <c r="P839" t="s">
        <v>119</v>
      </c>
    </row>
    <row r="840" spans="1:16" x14ac:dyDescent="0.3">
      <c r="A840" t="s">
        <v>25</v>
      </c>
      <c r="B840" s="1">
        <v>45583.379872685182</v>
      </c>
      <c r="C840" t="str">
        <f>"41"</f>
        <v>41</v>
      </c>
      <c r="D840" t="s">
        <v>120</v>
      </c>
      <c r="E840" t="s">
        <v>116</v>
      </c>
      <c r="F840" t="s">
        <v>117</v>
      </c>
      <c r="H840" t="s">
        <v>283</v>
      </c>
      <c r="I840" t="str">
        <f>"101050002021574"</f>
        <v>101050002021574</v>
      </c>
      <c r="J840" t="str">
        <f>"514913"</f>
        <v>514913</v>
      </c>
      <c r="K840" t="s">
        <v>93</v>
      </c>
      <c r="L840">
        <v>91</v>
      </c>
      <c r="M840">
        <v>91</v>
      </c>
      <c r="N840">
        <v>0</v>
      </c>
      <c r="O840" s="1">
        <v>45583.379872685182</v>
      </c>
      <c r="P840" t="s">
        <v>119</v>
      </c>
    </row>
    <row r="841" spans="1:16" x14ac:dyDescent="0.3">
      <c r="A841" t="s">
        <v>25</v>
      </c>
      <c r="B841" s="1">
        <v>45583.378900462965</v>
      </c>
      <c r="C841" t="str">
        <f>"38"</f>
        <v>38</v>
      </c>
      <c r="D841" t="s">
        <v>115</v>
      </c>
      <c r="E841" t="s">
        <v>116</v>
      </c>
      <c r="F841" t="s">
        <v>117</v>
      </c>
      <c r="H841" t="s">
        <v>284</v>
      </c>
      <c r="L841">
        <v>0</v>
      </c>
      <c r="M841">
        <v>0</v>
      </c>
      <c r="N841">
        <v>0</v>
      </c>
      <c r="O841" s="1">
        <v>45583.378900462965</v>
      </c>
      <c r="P841" t="s">
        <v>119</v>
      </c>
    </row>
    <row r="842" spans="1:16" x14ac:dyDescent="0.3">
      <c r="A842" t="s">
        <v>25</v>
      </c>
      <c r="B842" s="1">
        <v>45583.378900462965</v>
      </c>
      <c r="C842" t="str">
        <f t="shared" ref="C842:C848" si="168">"41"</f>
        <v>41</v>
      </c>
      <c r="D842" t="s">
        <v>120</v>
      </c>
      <c r="E842" t="s">
        <v>116</v>
      </c>
      <c r="F842" t="s">
        <v>117</v>
      </c>
      <c r="H842" t="s">
        <v>284</v>
      </c>
      <c r="I842" t="str">
        <f>"101050002026331"</f>
        <v>101050002026331</v>
      </c>
      <c r="J842" t="str">
        <f t="shared" ref="J842:J848" si="169">"127802"</f>
        <v>127802</v>
      </c>
      <c r="K842" t="s">
        <v>6</v>
      </c>
      <c r="L842">
        <v>91</v>
      </c>
      <c r="M842">
        <v>91</v>
      </c>
      <c r="N842">
        <v>0</v>
      </c>
      <c r="O842" s="1">
        <v>45583.378900462965</v>
      </c>
      <c r="P842" t="s">
        <v>119</v>
      </c>
    </row>
    <row r="843" spans="1:16" x14ac:dyDescent="0.3">
      <c r="A843" t="s">
        <v>25</v>
      </c>
      <c r="B843" s="1">
        <v>45583.378900462965</v>
      </c>
      <c r="C843" t="str">
        <f t="shared" si="168"/>
        <v>41</v>
      </c>
      <c r="D843" t="s">
        <v>120</v>
      </c>
      <c r="E843" t="s">
        <v>116</v>
      </c>
      <c r="F843" t="s">
        <v>117</v>
      </c>
      <c r="H843" t="s">
        <v>284</v>
      </c>
      <c r="I843" t="str">
        <f>"101050002025904"</f>
        <v>101050002025904</v>
      </c>
      <c r="J843" t="str">
        <f t="shared" si="169"/>
        <v>127802</v>
      </c>
      <c r="K843" t="s">
        <v>6</v>
      </c>
      <c r="L843">
        <v>91</v>
      </c>
      <c r="M843">
        <v>91</v>
      </c>
      <c r="N843">
        <v>0</v>
      </c>
      <c r="O843" s="1">
        <v>45583.378900462965</v>
      </c>
      <c r="P843" t="s">
        <v>119</v>
      </c>
    </row>
    <row r="844" spans="1:16" x14ac:dyDescent="0.3">
      <c r="A844" t="s">
        <v>25</v>
      </c>
      <c r="B844" s="1">
        <v>45583.378900462965</v>
      </c>
      <c r="C844" t="str">
        <f t="shared" si="168"/>
        <v>41</v>
      </c>
      <c r="D844" t="s">
        <v>120</v>
      </c>
      <c r="E844" t="s">
        <v>116</v>
      </c>
      <c r="F844" t="s">
        <v>117</v>
      </c>
      <c r="H844" t="s">
        <v>284</v>
      </c>
      <c r="I844" t="str">
        <f>"101050002026332"</f>
        <v>101050002026332</v>
      </c>
      <c r="J844" t="str">
        <f t="shared" si="169"/>
        <v>127802</v>
      </c>
      <c r="K844" t="s">
        <v>6</v>
      </c>
      <c r="L844">
        <v>91</v>
      </c>
      <c r="M844">
        <v>91</v>
      </c>
      <c r="N844">
        <v>0</v>
      </c>
      <c r="O844" s="1">
        <v>45583.378900462965</v>
      </c>
      <c r="P844" t="s">
        <v>119</v>
      </c>
    </row>
    <row r="845" spans="1:16" x14ac:dyDescent="0.3">
      <c r="A845" t="s">
        <v>25</v>
      </c>
      <c r="B845" s="1">
        <v>45583.378900462965</v>
      </c>
      <c r="C845" t="str">
        <f t="shared" si="168"/>
        <v>41</v>
      </c>
      <c r="D845" t="s">
        <v>120</v>
      </c>
      <c r="E845" t="s">
        <v>116</v>
      </c>
      <c r="F845" t="s">
        <v>117</v>
      </c>
      <c r="H845" t="s">
        <v>284</v>
      </c>
      <c r="I845" t="str">
        <f>"101050002026392"</f>
        <v>101050002026392</v>
      </c>
      <c r="J845" t="str">
        <f t="shared" si="169"/>
        <v>127802</v>
      </c>
      <c r="K845" t="s">
        <v>6</v>
      </c>
      <c r="L845">
        <v>91</v>
      </c>
      <c r="M845">
        <v>91</v>
      </c>
      <c r="N845">
        <v>0</v>
      </c>
      <c r="O845" s="1">
        <v>45583.378900462965</v>
      </c>
      <c r="P845" t="s">
        <v>119</v>
      </c>
    </row>
    <row r="846" spans="1:16" x14ac:dyDescent="0.3">
      <c r="A846" t="s">
        <v>25</v>
      </c>
      <c r="B846" s="1">
        <v>45583.378900462965</v>
      </c>
      <c r="C846" t="str">
        <f t="shared" si="168"/>
        <v>41</v>
      </c>
      <c r="D846" t="s">
        <v>120</v>
      </c>
      <c r="E846" t="s">
        <v>116</v>
      </c>
      <c r="F846" t="s">
        <v>117</v>
      </c>
      <c r="H846" t="s">
        <v>284</v>
      </c>
      <c r="I846" t="str">
        <f>"101620000472002"</f>
        <v>101620000472002</v>
      </c>
      <c r="J846" t="str">
        <f t="shared" si="169"/>
        <v>127802</v>
      </c>
      <c r="K846" t="s">
        <v>6</v>
      </c>
      <c r="L846">
        <v>91</v>
      </c>
      <c r="M846">
        <v>91</v>
      </c>
      <c r="N846">
        <v>0</v>
      </c>
      <c r="O846" s="1">
        <v>45583.378900462965</v>
      </c>
      <c r="P846" t="s">
        <v>119</v>
      </c>
    </row>
    <row r="847" spans="1:16" x14ac:dyDescent="0.3">
      <c r="A847" t="s">
        <v>25</v>
      </c>
      <c r="B847" s="1">
        <v>45583.378900462965</v>
      </c>
      <c r="C847" t="str">
        <f t="shared" si="168"/>
        <v>41</v>
      </c>
      <c r="D847" t="s">
        <v>120</v>
      </c>
      <c r="E847" t="s">
        <v>116</v>
      </c>
      <c r="F847" t="s">
        <v>117</v>
      </c>
      <c r="H847" t="s">
        <v>284</v>
      </c>
      <c r="I847" t="str">
        <f>"101620000472281"</f>
        <v>101620000472281</v>
      </c>
      <c r="J847" t="str">
        <f t="shared" si="169"/>
        <v>127802</v>
      </c>
      <c r="K847" t="s">
        <v>6</v>
      </c>
      <c r="L847">
        <v>91</v>
      </c>
      <c r="M847">
        <v>91</v>
      </c>
      <c r="N847">
        <v>0</v>
      </c>
      <c r="O847" s="1">
        <v>45583.378900462965</v>
      </c>
      <c r="P847" t="s">
        <v>119</v>
      </c>
    </row>
    <row r="848" spans="1:16" x14ac:dyDescent="0.3">
      <c r="A848" t="s">
        <v>25</v>
      </c>
      <c r="B848" s="1">
        <v>45583.378900462965</v>
      </c>
      <c r="C848" t="str">
        <f t="shared" si="168"/>
        <v>41</v>
      </c>
      <c r="D848" t="s">
        <v>120</v>
      </c>
      <c r="E848" t="s">
        <v>116</v>
      </c>
      <c r="F848" t="s">
        <v>117</v>
      </c>
      <c r="H848" t="s">
        <v>284</v>
      </c>
      <c r="I848" t="str">
        <f>"101050002021265"</f>
        <v>101050002021265</v>
      </c>
      <c r="J848" t="str">
        <f t="shared" si="169"/>
        <v>127802</v>
      </c>
      <c r="K848" t="s">
        <v>6</v>
      </c>
      <c r="L848">
        <v>91</v>
      </c>
      <c r="M848">
        <v>91</v>
      </c>
      <c r="N848">
        <v>0</v>
      </c>
      <c r="O848" s="1">
        <v>45583.378900462965</v>
      </c>
      <c r="P848" t="s">
        <v>119</v>
      </c>
    </row>
    <row r="849" spans="1:16" x14ac:dyDescent="0.3">
      <c r="A849" t="s">
        <v>25</v>
      </c>
      <c r="B849" s="1">
        <v>45583.378263888888</v>
      </c>
      <c r="C849" t="str">
        <f>"38"</f>
        <v>38</v>
      </c>
      <c r="D849" t="s">
        <v>115</v>
      </c>
      <c r="E849" t="s">
        <v>116</v>
      </c>
      <c r="F849" t="s">
        <v>117</v>
      </c>
      <c r="H849" t="s">
        <v>285</v>
      </c>
      <c r="L849">
        <v>0</v>
      </c>
      <c r="M849">
        <v>0</v>
      </c>
      <c r="N849">
        <v>0</v>
      </c>
      <c r="O849" s="1">
        <v>45583.378263888888</v>
      </c>
      <c r="P849" t="s">
        <v>122</v>
      </c>
    </row>
    <row r="850" spans="1:16" x14ac:dyDescent="0.3">
      <c r="A850" t="s">
        <v>25</v>
      </c>
      <c r="B850" s="1">
        <v>45583.378263888888</v>
      </c>
      <c r="C850" t="str">
        <f t="shared" ref="C850:C855" si="170">"41"</f>
        <v>41</v>
      </c>
      <c r="D850" t="s">
        <v>120</v>
      </c>
      <c r="E850" t="s">
        <v>116</v>
      </c>
      <c r="F850" t="s">
        <v>117</v>
      </c>
      <c r="H850" t="s">
        <v>285</v>
      </c>
      <c r="I850" t="str">
        <f>"101050002024220"</f>
        <v>101050002024220</v>
      </c>
      <c r="J850" t="str">
        <f t="shared" ref="J850:J855" si="171">"127436"</f>
        <v>127436</v>
      </c>
      <c r="K850" t="s">
        <v>59</v>
      </c>
      <c r="L850">
        <v>91</v>
      </c>
      <c r="M850">
        <v>91</v>
      </c>
      <c r="N850">
        <v>0</v>
      </c>
      <c r="O850" s="1">
        <v>45583.378263888888</v>
      </c>
      <c r="P850" t="s">
        <v>122</v>
      </c>
    </row>
    <row r="851" spans="1:16" x14ac:dyDescent="0.3">
      <c r="A851" t="s">
        <v>25</v>
      </c>
      <c r="B851" s="1">
        <v>45583.378263888888</v>
      </c>
      <c r="C851" t="str">
        <f t="shared" si="170"/>
        <v>41</v>
      </c>
      <c r="D851" t="s">
        <v>120</v>
      </c>
      <c r="E851" t="s">
        <v>116</v>
      </c>
      <c r="F851" t="s">
        <v>117</v>
      </c>
      <c r="H851" t="s">
        <v>285</v>
      </c>
      <c r="I851" t="str">
        <f>"101050002023659"</f>
        <v>101050002023659</v>
      </c>
      <c r="J851" t="str">
        <f t="shared" si="171"/>
        <v>127436</v>
      </c>
      <c r="K851" t="s">
        <v>59</v>
      </c>
      <c r="L851">
        <v>91</v>
      </c>
      <c r="M851">
        <v>91</v>
      </c>
      <c r="N851">
        <v>0</v>
      </c>
      <c r="O851" s="1">
        <v>45583.378263888888</v>
      </c>
      <c r="P851" t="s">
        <v>122</v>
      </c>
    </row>
    <row r="852" spans="1:16" x14ac:dyDescent="0.3">
      <c r="A852" t="s">
        <v>25</v>
      </c>
      <c r="B852" s="1">
        <v>45583.378263888888</v>
      </c>
      <c r="C852" t="str">
        <f t="shared" si="170"/>
        <v>41</v>
      </c>
      <c r="D852" t="s">
        <v>120</v>
      </c>
      <c r="E852" t="s">
        <v>116</v>
      </c>
      <c r="F852" t="s">
        <v>117</v>
      </c>
      <c r="H852" t="s">
        <v>285</v>
      </c>
      <c r="I852" t="str">
        <f>"101050002023642"</f>
        <v>101050002023642</v>
      </c>
      <c r="J852" t="str">
        <f t="shared" si="171"/>
        <v>127436</v>
      </c>
      <c r="K852" t="s">
        <v>59</v>
      </c>
      <c r="L852">
        <v>91</v>
      </c>
      <c r="M852">
        <v>91</v>
      </c>
      <c r="N852">
        <v>0</v>
      </c>
      <c r="O852" s="1">
        <v>45583.378263888888</v>
      </c>
      <c r="P852" t="s">
        <v>122</v>
      </c>
    </row>
    <row r="853" spans="1:16" x14ac:dyDescent="0.3">
      <c r="A853" t="s">
        <v>25</v>
      </c>
      <c r="B853" s="1">
        <v>45583.378263888888</v>
      </c>
      <c r="C853" t="str">
        <f t="shared" si="170"/>
        <v>41</v>
      </c>
      <c r="D853" t="s">
        <v>120</v>
      </c>
      <c r="E853" t="s">
        <v>116</v>
      </c>
      <c r="F853" t="s">
        <v>117</v>
      </c>
      <c r="H853" t="s">
        <v>285</v>
      </c>
      <c r="I853" t="str">
        <f>"101050002022444"</f>
        <v>101050002022444</v>
      </c>
      <c r="J853" t="str">
        <f t="shared" si="171"/>
        <v>127436</v>
      </c>
      <c r="K853" t="s">
        <v>59</v>
      </c>
      <c r="L853">
        <v>91</v>
      </c>
      <c r="M853">
        <v>91</v>
      </c>
      <c r="N853">
        <v>0</v>
      </c>
      <c r="O853" s="1">
        <v>45583.378263888888</v>
      </c>
      <c r="P853" t="s">
        <v>122</v>
      </c>
    </row>
    <row r="854" spans="1:16" x14ac:dyDescent="0.3">
      <c r="A854" t="s">
        <v>25</v>
      </c>
      <c r="B854" s="1">
        <v>45583.378252314818</v>
      </c>
      <c r="C854" t="str">
        <f t="shared" si="170"/>
        <v>41</v>
      </c>
      <c r="D854" t="s">
        <v>120</v>
      </c>
      <c r="E854" t="s">
        <v>116</v>
      </c>
      <c r="F854" t="s">
        <v>117</v>
      </c>
      <c r="H854" t="s">
        <v>285</v>
      </c>
      <c r="I854" t="str">
        <f>"101050002022182"</f>
        <v>101050002022182</v>
      </c>
      <c r="J854" t="str">
        <f t="shared" si="171"/>
        <v>127436</v>
      </c>
      <c r="K854" t="s">
        <v>59</v>
      </c>
      <c r="L854">
        <v>91</v>
      </c>
      <c r="M854">
        <v>91</v>
      </c>
      <c r="N854">
        <v>0</v>
      </c>
      <c r="O854" s="1">
        <v>45583.378252314818</v>
      </c>
      <c r="P854" t="s">
        <v>122</v>
      </c>
    </row>
    <row r="855" spans="1:16" x14ac:dyDescent="0.3">
      <c r="A855" t="s">
        <v>25</v>
      </c>
      <c r="B855" s="1">
        <v>45583.378252314818</v>
      </c>
      <c r="C855" t="str">
        <f t="shared" si="170"/>
        <v>41</v>
      </c>
      <c r="D855" t="s">
        <v>120</v>
      </c>
      <c r="E855" t="s">
        <v>116</v>
      </c>
      <c r="F855" t="s">
        <v>117</v>
      </c>
      <c r="H855" t="s">
        <v>285</v>
      </c>
      <c r="I855" t="str">
        <f>"101050002010409"</f>
        <v>101050002010409</v>
      </c>
      <c r="J855" t="str">
        <f t="shared" si="171"/>
        <v>127436</v>
      </c>
      <c r="K855" t="s">
        <v>59</v>
      </c>
      <c r="L855">
        <v>91</v>
      </c>
      <c r="M855">
        <v>91</v>
      </c>
      <c r="N855">
        <v>0</v>
      </c>
      <c r="O855" s="1">
        <v>45583.378252314818</v>
      </c>
      <c r="P855" t="s">
        <v>122</v>
      </c>
    </row>
    <row r="856" spans="1:16" x14ac:dyDescent="0.3">
      <c r="A856" t="s">
        <v>25</v>
      </c>
      <c r="B856" s="1">
        <v>45583.376782407409</v>
      </c>
      <c r="C856" t="str">
        <f>"38"</f>
        <v>38</v>
      </c>
      <c r="D856" t="s">
        <v>115</v>
      </c>
      <c r="E856" t="s">
        <v>116</v>
      </c>
      <c r="F856" t="s">
        <v>117</v>
      </c>
      <c r="H856" t="s">
        <v>286</v>
      </c>
      <c r="L856">
        <v>0</v>
      </c>
      <c r="M856">
        <v>0</v>
      </c>
      <c r="N856">
        <v>0</v>
      </c>
      <c r="O856" s="1">
        <v>45583.376782407409</v>
      </c>
      <c r="P856" t="s">
        <v>122</v>
      </c>
    </row>
    <row r="857" spans="1:16" x14ac:dyDescent="0.3">
      <c r="A857" t="s">
        <v>25</v>
      </c>
      <c r="B857" s="1">
        <v>45583.376782407409</v>
      </c>
      <c r="C857" t="str">
        <f>"41"</f>
        <v>41</v>
      </c>
      <c r="D857" t="s">
        <v>120</v>
      </c>
      <c r="E857" t="s">
        <v>116</v>
      </c>
      <c r="F857" t="s">
        <v>117</v>
      </c>
      <c r="H857" t="s">
        <v>286</v>
      </c>
      <c r="I857" t="str">
        <f>"101050001973232"</f>
        <v>101050001973232</v>
      </c>
      <c r="J857" t="str">
        <f>"514913"</f>
        <v>514913</v>
      </c>
      <c r="K857" t="s">
        <v>93</v>
      </c>
      <c r="L857">
        <v>91</v>
      </c>
      <c r="M857">
        <v>91</v>
      </c>
      <c r="N857">
        <v>0</v>
      </c>
      <c r="O857" s="1">
        <v>45583.376782407409</v>
      </c>
      <c r="P857" t="s">
        <v>122</v>
      </c>
    </row>
    <row r="858" spans="1:16" x14ac:dyDescent="0.3">
      <c r="A858" t="s">
        <v>25</v>
      </c>
      <c r="B858" s="1">
        <v>45583.376354166663</v>
      </c>
      <c r="C858" t="str">
        <f>"38"</f>
        <v>38</v>
      </c>
      <c r="D858" t="s">
        <v>115</v>
      </c>
      <c r="E858" t="s">
        <v>116</v>
      </c>
      <c r="F858" t="s">
        <v>117</v>
      </c>
      <c r="H858" t="s">
        <v>287</v>
      </c>
      <c r="L858">
        <v>0</v>
      </c>
      <c r="M858">
        <v>0</v>
      </c>
      <c r="N858">
        <v>0</v>
      </c>
      <c r="O858" s="1">
        <v>45583.376354166663</v>
      </c>
      <c r="P858" t="s">
        <v>125</v>
      </c>
    </row>
    <row r="859" spans="1:16" x14ac:dyDescent="0.3">
      <c r="A859" t="s">
        <v>25</v>
      </c>
      <c r="B859" s="1">
        <v>45583.376354166663</v>
      </c>
      <c r="C859" t="str">
        <f t="shared" ref="C859:C865" si="172">"41"</f>
        <v>41</v>
      </c>
      <c r="D859" t="s">
        <v>120</v>
      </c>
      <c r="E859" t="s">
        <v>116</v>
      </c>
      <c r="F859" t="s">
        <v>117</v>
      </c>
      <c r="H859" t="s">
        <v>287</v>
      </c>
      <c r="I859" t="str">
        <f>"101050002026922"</f>
        <v>101050002026922</v>
      </c>
      <c r="J859" t="str">
        <f t="shared" ref="J859:J865" si="173">"127571"</f>
        <v>127571</v>
      </c>
      <c r="K859" t="s">
        <v>5</v>
      </c>
      <c r="L859">
        <v>91</v>
      </c>
      <c r="M859">
        <v>91</v>
      </c>
      <c r="N859">
        <v>0</v>
      </c>
      <c r="O859" s="1">
        <v>45583.376354166663</v>
      </c>
      <c r="P859" t="s">
        <v>125</v>
      </c>
    </row>
    <row r="860" spans="1:16" x14ac:dyDescent="0.3">
      <c r="A860" t="s">
        <v>25</v>
      </c>
      <c r="B860" s="1">
        <v>45583.376354166663</v>
      </c>
      <c r="C860" t="str">
        <f t="shared" si="172"/>
        <v>41</v>
      </c>
      <c r="D860" t="s">
        <v>120</v>
      </c>
      <c r="E860" t="s">
        <v>116</v>
      </c>
      <c r="F860" t="s">
        <v>117</v>
      </c>
      <c r="H860" t="s">
        <v>287</v>
      </c>
      <c r="I860" t="str">
        <f>"101050002026221"</f>
        <v>101050002026221</v>
      </c>
      <c r="J860" t="str">
        <f t="shared" si="173"/>
        <v>127571</v>
      </c>
      <c r="K860" t="s">
        <v>5</v>
      </c>
      <c r="L860">
        <v>91</v>
      </c>
      <c r="M860">
        <v>91</v>
      </c>
      <c r="N860">
        <v>0</v>
      </c>
      <c r="O860" s="1">
        <v>45583.376354166663</v>
      </c>
      <c r="P860" t="s">
        <v>125</v>
      </c>
    </row>
    <row r="861" spans="1:16" x14ac:dyDescent="0.3">
      <c r="A861" t="s">
        <v>25</v>
      </c>
      <c r="B861" s="1">
        <v>45583.376354166663</v>
      </c>
      <c r="C861" t="str">
        <f t="shared" si="172"/>
        <v>41</v>
      </c>
      <c r="D861" t="s">
        <v>120</v>
      </c>
      <c r="E861" t="s">
        <v>116</v>
      </c>
      <c r="F861" t="s">
        <v>117</v>
      </c>
      <c r="H861" t="s">
        <v>287</v>
      </c>
      <c r="I861" t="str">
        <f>"101050002024606"</f>
        <v>101050002024606</v>
      </c>
      <c r="J861" t="str">
        <f t="shared" si="173"/>
        <v>127571</v>
      </c>
      <c r="K861" t="s">
        <v>5</v>
      </c>
      <c r="L861">
        <v>91</v>
      </c>
      <c r="M861">
        <v>91</v>
      </c>
      <c r="N861">
        <v>0</v>
      </c>
      <c r="O861" s="1">
        <v>45583.376354166663</v>
      </c>
      <c r="P861" t="s">
        <v>125</v>
      </c>
    </row>
    <row r="862" spans="1:16" x14ac:dyDescent="0.3">
      <c r="A862" t="s">
        <v>25</v>
      </c>
      <c r="B862" s="1">
        <v>45583.376354166663</v>
      </c>
      <c r="C862" t="str">
        <f t="shared" si="172"/>
        <v>41</v>
      </c>
      <c r="D862" t="s">
        <v>120</v>
      </c>
      <c r="E862" t="s">
        <v>116</v>
      </c>
      <c r="F862" t="s">
        <v>117</v>
      </c>
      <c r="H862" t="s">
        <v>287</v>
      </c>
      <c r="I862" t="str">
        <f>"101050002024428"</f>
        <v>101050002024428</v>
      </c>
      <c r="J862" t="str">
        <f t="shared" si="173"/>
        <v>127571</v>
      </c>
      <c r="K862" t="s">
        <v>5</v>
      </c>
      <c r="L862">
        <v>91</v>
      </c>
      <c r="M862">
        <v>91</v>
      </c>
      <c r="N862">
        <v>0</v>
      </c>
      <c r="O862" s="1">
        <v>45583.376354166663</v>
      </c>
      <c r="P862" t="s">
        <v>125</v>
      </c>
    </row>
    <row r="863" spans="1:16" x14ac:dyDescent="0.3">
      <c r="A863" t="s">
        <v>25</v>
      </c>
      <c r="B863" s="1">
        <v>45583.376354166663</v>
      </c>
      <c r="C863" t="str">
        <f t="shared" si="172"/>
        <v>41</v>
      </c>
      <c r="D863" t="s">
        <v>120</v>
      </c>
      <c r="E863" t="s">
        <v>116</v>
      </c>
      <c r="F863" t="s">
        <v>117</v>
      </c>
      <c r="H863" t="s">
        <v>287</v>
      </c>
      <c r="I863" t="str">
        <f>"101050002024298"</f>
        <v>101050002024298</v>
      </c>
      <c r="J863" t="str">
        <f t="shared" si="173"/>
        <v>127571</v>
      </c>
      <c r="K863" t="s">
        <v>5</v>
      </c>
      <c r="L863">
        <v>91</v>
      </c>
      <c r="M863">
        <v>91</v>
      </c>
      <c r="N863">
        <v>0</v>
      </c>
      <c r="O863" s="1">
        <v>45583.376354166663</v>
      </c>
      <c r="P863" t="s">
        <v>125</v>
      </c>
    </row>
    <row r="864" spans="1:16" x14ac:dyDescent="0.3">
      <c r="A864" t="s">
        <v>25</v>
      </c>
      <c r="B864" s="1">
        <v>45583.376342592594</v>
      </c>
      <c r="C864" t="str">
        <f t="shared" si="172"/>
        <v>41</v>
      </c>
      <c r="D864" t="s">
        <v>120</v>
      </c>
      <c r="E864" t="s">
        <v>116</v>
      </c>
      <c r="F864" t="s">
        <v>117</v>
      </c>
      <c r="H864" t="s">
        <v>287</v>
      </c>
      <c r="I864" t="str">
        <f>"101050002024297"</f>
        <v>101050002024297</v>
      </c>
      <c r="J864" t="str">
        <f t="shared" si="173"/>
        <v>127571</v>
      </c>
      <c r="K864" t="s">
        <v>5</v>
      </c>
      <c r="L864">
        <v>91</v>
      </c>
      <c r="M864">
        <v>91</v>
      </c>
      <c r="N864">
        <v>0</v>
      </c>
      <c r="O864" s="1">
        <v>45583.376342592594</v>
      </c>
      <c r="P864" t="s">
        <v>125</v>
      </c>
    </row>
    <row r="865" spans="1:16" x14ac:dyDescent="0.3">
      <c r="A865" t="s">
        <v>25</v>
      </c>
      <c r="B865" s="1">
        <v>45583.376342592594</v>
      </c>
      <c r="C865" t="str">
        <f t="shared" si="172"/>
        <v>41</v>
      </c>
      <c r="D865" t="s">
        <v>120</v>
      </c>
      <c r="E865" t="s">
        <v>116</v>
      </c>
      <c r="F865" t="s">
        <v>117</v>
      </c>
      <c r="H865" t="s">
        <v>287</v>
      </c>
      <c r="I865" t="str">
        <f>"101050002023199"</f>
        <v>101050002023199</v>
      </c>
      <c r="J865" t="str">
        <f t="shared" si="173"/>
        <v>127571</v>
      </c>
      <c r="K865" t="s">
        <v>5</v>
      </c>
      <c r="L865">
        <v>91</v>
      </c>
      <c r="M865">
        <v>91</v>
      </c>
      <c r="N865">
        <v>0</v>
      </c>
      <c r="O865" s="1">
        <v>45583.376342592594</v>
      </c>
      <c r="P865" t="s">
        <v>125</v>
      </c>
    </row>
    <row r="866" spans="1:16" x14ac:dyDescent="0.3">
      <c r="A866" t="s">
        <v>25</v>
      </c>
      <c r="B866" s="1">
        <v>45583.373206018521</v>
      </c>
      <c r="C866" t="str">
        <f>"38"</f>
        <v>38</v>
      </c>
      <c r="D866" t="s">
        <v>115</v>
      </c>
      <c r="E866" t="s">
        <v>116</v>
      </c>
      <c r="F866" t="s">
        <v>117</v>
      </c>
      <c r="H866" t="s">
        <v>286</v>
      </c>
      <c r="L866">
        <v>0</v>
      </c>
      <c r="M866">
        <v>0</v>
      </c>
      <c r="N866">
        <v>0</v>
      </c>
      <c r="O866" s="1">
        <v>45583.373206018521</v>
      </c>
      <c r="P866" t="s">
        <v>122</v>
      </c>
    </row>
    <row r="867" spans="1:16" x14ac:dyDescent="0.3">
      <c r="A867" t="s">
        <v>25</v>
      </c>
      <c r="B867" s="1">
        <v>45583.373206018521</v>
      </c>
      <c r="C867" t="str">
        <f>"41"</f>
        <v>41</v>
      </c>
      <c r="D867" t="s">
        <v>120</v>
      </c>
      <c r="E867" t="s">
        <v>116</v>
      </c>
      <c r="F867" t="s">
        <v>117</v>
      </c>
      <c r="H867" t="s">
        <v>286</v>
      </c>
      <c r="I867" t="str">
        <f>"101050001973232"</f>
        <v>101050001973232</v>
      </c>
      <c r="J867" t="str">
        <f>"514913"</f>
        <v>514913</v>
      </c>
      <c r="K867" t="s">
        <v>93</v>
      </c>
      <c r="L867">
        <v>91</v>
      </c>
      <c r="M867">
        <v>91</v>
      </c>
      <c r="N867">
        <v>0</v>
      </c>
      <c r="O867" s="1">
        <v>45583.373206018521</v>
      </c>
      <c r="P867" t="s">
        <v>122</v>
      </c>
    </row>
    <row r="868" spans="1:16" x14ac:dyDescent="0.3">
      <c r="A868" t="s">
        <v>25</v>
      </c>
      <c r="B868" s="1">
        <v>45583.372731481482</v>
      </c>
      <c r="C868" t="str">
        <f>"38"</f>
        <v>38</v>
      </c>
      <c r="D868" t="s">
        <v>115</v>
      </c>
      <c r="E868" t="s">
        <v>116</v>
      </c>
      <c r="F868" t="s">
        <v>117</v>
      </c>
      <c r="H868" t="s">
        <v>288</v>
      </c>
      <c r="L868">
        <v>0</v>
      </c>
      <c r="M868">
        <v>0</v>
      </c>
      <c r="N868">
        <v>0</v>
      </c>
      <c r="O868" s="1">
        <v>45583.372731481482</v>
      </c>
      <c r="P868" t="s">
        <v>125</v>
      </c>
    </row>
    <row r="869" spans="1:16" x14ac:dyDescent="0.3">
      <c r="A869" t="s">
        <v>25</v>
      </c>
      <c r="B869" s="1">
        <v>45583.372731481482</v>
      </c>
      <c r="C869" t="str">
        <f>"41"</f>
        <v>41</v>
      </c>
      <c r="D869" t="s">
        <v>120</v>
      </c>
      <c r="E869" t="s">
        <v>116</v>
      </c>
      <c r="F869" t="s">
        <v>117</v>
      </c>
      <c r="H869" t="s">
        <v>288</v>
      </c>
      <c r="I869" t="str">
        <f>"101050002027639"</f>
        <v>101050002027639</v>
      </c>
      <c r="J869" t="str">
        <f>"127575"</f>
        <v>127575</v>
      </c>
      <c r="K869" t="s">
        <v>8</v>
      </c>
      <c r="L869">
        <v>91</v>
      </c>
      <c r="M869">
        <v>91</v>
      </c>
      <c r="N869">
        <v>0</v>
      </c>
      <c r="O869" s="1">
        <v>45583.372731481482</v>
      </c>
      <c r="P869" t="s">
        <v>125</v>
      </c>
    </row>
    <row r="870" spans="1:16" x14ac:dyDescent="0.3">
      <c r="A870" t="s">
        <v>25</v>
      </c>
      <c r="B870" s="1">
        <v>45583.372731481482</v>
      </c>
      <c r="C870" t="str">
        <f>"41"</f>
        <v>41</v>
      </c>
      <c r="D870" t="s">
        <v>120</v>
      </c>
      <c r="E870" t="s">
        <v>116</v>
      </c>
      <c r="F870" t="s">
        <v>117</v>
      </c>
      <c r="H870" t="s">
        <v>288</v>
      </c>
      <c r="I870" t="str">
        <f>"101050002027446"</f>
        <v>101050002027446</v>
      </c>
      <c r="J870" t="str">
        <f>"127575"</f>
        <v>127575</v>
      </c>
      <c r="K870" t="s">
        <v>8</v>
      </c>
      <c r="L870">
        <v>91</v>
      </c>
      <c r="M870">
        <v>91</v>
      </c>
      <c r="N870">
        <v>0</v>
      </c>
      <c r="O870" s="1">
        <v>45583.372731481482</v>
      </c>
      <c r="P870" t="s">
        <v>125</v>
      </c>
    </row>
    <row r="871" spans="1:16" x14ac:dyDescent="0.3">
      <c r="A871" t="s">
        <v>25</v>
      </c>
      <c r="B871" s="1">
        <v>45583.372731481482</v>
      </c>
      <c r="C871" t="str">
        <f>"41"</f>
        <v>41</v>
      </c>
      <c r="D871" t="s">
        <v>120</v>
      </c>
      <c r="E871" t="s">
        <v>116</v>
      </c>
      <c r="F871" t="s">
        <v>117</v>
      </c>
      <c r="H871" t="s">
        <v>288</v>
      </c>
      <c r="I871" t="str">
        <f>"101050002026325"</f>
        <v>101050002026325</v>
      </c>
      <c r="J871" t="str">
        <f>"127575"</f>
        <v>127575</v>
      </c>
      <c r="K871" t="s">
        <v>8</v>
      </c>
      <c r="L871">
        <v>91</v>
      </c>
      <c r="M871">
        <v>91</v>
      </c>
      <c r="N871">
        <v>0</v>
      </c>
      <c r="O871" s="1">
        <v>45583.372731481482</v>
      </c>
      <c r="P871" t="s">
        <v>125</v>
      </c>
    </row>
    <row r="872" spans="1:16" x14ac:dyDescent="0.3">
      <c r="A872" t="s">
        <v>25</v>
      </c>
      <c r="B872" s="1">
        <v>45583.372731481482</v>
      </c>
      <c r="C872" t="str">
        <f>"41"</f>
        <v>41</v>
      </c>
      <c r="D872" t="s">
        <v>120</v>
      </c>
      <c r="E872" t="s">
        <v>116</v>
      </c>
      <c r="F872" t="s">
        <v>117</v>
      </c>
      <c r="H872" t="s">
        <v>288</v>
      </c>
      <c r="I872" t="str">
        <f>"101050002026059"</f>
        <v>101050002026059</v>
      </c>
      <c r="J872" t="str">
        <f>"127575"</f>
        <v>127575</v>
      </c>
      <c r="K872" t="s">
        <v>8</v>
      </c>
      <c r="L872">
        <v>91</v>
      </c>
      <c r="M872">
        <v>91</v>
      </c>
      <c r="N872">
        <v>0</v>
      </c>
      <c r="O872" s="1">
        <v>45583.372731481482</v>
      </c>
      <c r="P872" t="s">
        <v>125</v>
      </c>
    </row>
    <row r="873" spans="1:16" x14ac:dyDescent="0.3">
      <c r="A873" t="s">
        <v>25</v>
      </c>
      <c r="B873" s="1">
        <v>45583.37263888889</v>
      </c>
      <c r="C873" t="str">
        <f>"38"</f>
        <v>38</v>
      </c>
      <c r="D873" t="s">
        <v>115</v>
      </c>
      <c r="E873" t="s">
        <v>116</v>
      </c>
      <c r="F873" t="s">
        <v>117</v>
      </c>
      <c r="H873" t="s">
        <v>289</v>
      </c>
      <c r="L873">
        <v>0</v>
      </c>
      <c r="M873">
        <v>0</v>
      </c>
      <c r="N873">
        <v>0</v>
      </c>
      <c r="O873" s="1">
        <v>45583.37263888889</v>
      </c>
      <c r="P873" t="s">
        <v>122</v>
      </c>
    </row>
    <row r="874" spans="1:16" x14ac:dyDescent="0.3">
      <c r="A874" t="s">
        <v>25</v>
      </c>
      <c r="B874" s="1">
        <v>45583.37263888889</v>
      </c>
      <c r="C874" t="str">
        <f>"41"</f>
        <v>41</v>
      </c>
      <c r="D874" t="s">
        <v>120</v>
      </c>
      <c r="E874" t="s">
        <v>116</v>
      </c>
      <c r="F874" t="s">
        <v>117</v>
      </c>
      <c r="H874" t="s">
        <v>289</v>
      </c>
      <c r="I874" t="str">
        <f>"101050002005392"</f>
        <v>101050002005392</v>
      </c>
      <c r="J874" t="str">
        <f>"515061"</f>
        <v>515061</v>
      </c>
      <c r="K874" t="s">
        <v>96</v>
      </c>
      <c r="L874">
        <v>49</v>
      </c>
      <c r="M874">
        <v>49</v>
      </c>
      <c r="N874">
        <v>0</v>
      </c>
      <c r="O874" s="1">
        <v>45583.37263888889</v>
      </c>
      <c r="P874" t="s">
        <v>122</v>
      </c>
    </row>
    <row r="875" spans="1:16" x14ac:dyDescent="0.3">
      <c r="A875" t="s">
        <v>25</v>
      </c>
      <c r="B875" s="1">
        <v>45583.37263888889</v>
      </c>
      <c r="C875" t="str">
        <f>"41"</f>
        <v>41</v>
      </c>
      <c r="D875" t="s">
        <v>120</v>
      </c>
      <c r="E875" t="s">
        <v>116</v>
      </c>
      <c r="F875" t="s">
        <v>117</v>
      </c>
      <c r="H875" t="s">
        <v>289</v>
      </c>
      <c r="I875" t="str">
        <f>"101050002005391"</f>
        <v>101050002005391</v>
      </c>
      <c r="J875" t="str">
        <f>"515061"</f>
        <v>515061</v>
      </c>
      <c r="K875" t="s">
        <v>96</v>
      </c>
      <c r="L875">
        <v>49</v>
      </c>
      <c r="M875">
        <v>49</v>
      </c>
      <c r="N875">
        <v>0</v>
      </c>
      <c r="O875" s="1">
        <v>45583.37263888889</v>
      </c>
      <c r="P875" t="s">
        <v>122</v>
      </c>
    </row>
    <row r="876" spans="1:16" x14ac:dyDescent="0.3">
      <c r="A876" t="s">
        <v>25</v>
      </c>
      <c r="B876" s="1">
        <v>45583.372627314813</v>
      </c>
      <c r="C876" t="str">
        <f>"41"</f>
        <v>41</v>
      </c>
      <c r="D876" t="s">
        <v>120</v>
      </c>
      <c r="E876" t="s">
        <v>116</v>
      </c>
      <c r="F876" t="s">
        <v>117</v>
      </c>
      <c r="H876" t="s">
        <v>289</v>
      </c>
      <c r="I876" t="str">
        <f>"101050002005319"</f>
        <v>101050002005319</v>
      </c>
      <c r="J876" t="str">
        <f>"515061"</f>
        <v>515061</v>
      </c>
      <c r="K876" t="s">
        <v>96</v>
      </c>
      <c r="L876">
        <v>49</v>
      </c>
      <c r="M876">
        <v>49</v>
      </c>
      <c r="N876">
        <v>0</v>
      </c>
      <c r="O876" s="1">
        <v>45583.372627314813</v>
      </c>
      <c r="P876" t="s">
        <v>122</v>
      </c>
    </row>
    <row r="877" spans="1:16" x14ac:dyDescent="0.3">
      <c r="A877" t="s">
        <v>25</v>
      </c>
      <c r="B877" s="1">
        <v>45583.374027777776</v>
      </c>
      <c r="C877" t="str">
        <f>"38"</f>
        <v>38</v>
      </c>
      <c r="D877" t="s">
        <v>115</v>
      </c>
      <c r="E877" t="s">
        <v>116</v>
      </c>
      <c r="F877" t="s">
        <v>117</v>
      </c>
      <c r="H877" t="s">
        <v>290</v>
      </c>
      <c r="L877">
        <v>0</v>
      </c>
      <c r="M877">
        <v>0</v>
      </c>
      <c r="N877">
        <v>0</v>
      </c>
      <c r="O877" s="1">
        <v>45583.374027777776</v>
      </c>
      <c r="P877" t="s">
        <v>119</v>
      </c>
    </row>
    <row r="878" spans="1:16" x14ac:dyDescent="0.3">
      <c r="A878" t="s">
        <v>25</v>
      </c>
      <c r="B878" s="1">
        <v>45583.374027777776</v>
      </c>
      <c r="C878" t="str">
        <f t="shared" ref="C878:C884" si="174">"41"</f>
        <v>41</v>
      </c>
      <c r="D878" t="s">
        <v>120</v>
      </c>
      <c r="E878" t="s">
        <v>116</v>
      </c>
      <c r="F878" t="s">
        <v>117</v>
      </c>
      <c r="H878" t="s">
        <v>290</v>
      </c>
      <c r="I878" t="str">
        <f>"101050002025477"</f>
        <v>101050002025477</v>
      </c>
      <c r="J878" t="str">
        <f t="shared" ref="J878:J884" si="175">"515122"</f>
        <v>515122</v>
      </c>
      <c r="K878" t="s">
        <v>4</v>
      </c>
      <c r="L878">
        <v>49</v>
      </c>
      <c r="M878">
        <v>49</v>
      </c>
      <c r="N878">
        <v>0</v>
      </c>
      <c r="O878" s="1">
        <v>45583.374027777776</v>
      </c>
      <c r="P878" t="s">
        <v>119</v>
      </c>
    </row>
    <row r="879" spans="1:16" x14ac:dyDescent="0.3">
      <c r="A879" t="s">
        <v>25</v>
      </c>
      <c r="B879" s="1">
        <v>45583.374016203707</v>
      </c>
      <c r="C879" t="str">
        <f t="shared" si="174"/>
        <v>41</v>
      </c>
      <c r="D879" t="s">
        <v>120</v>
      </c>
      <c r="E879" t="s">
        <v>116</v>
      </c>
      <c r="F879" t="s">
        <v>117</v>
      </c>
      <c r="H879" t="s">
        <v>290</v>
      </c>
      <c r="I879" t="str">
        <f>"101050002024631"</f>
        <v>101050002024631</v>
      </c>
      <c r="J879" t="str">
        <f t="shared" si="175"/>
        <v>515122</v>
      </c>
      <c r="K879" t="s">
        <v>4</v>
      </c>
      <c r="L879">
        <v>49</v>
      </c>
      <c r="M879">
        <v>49</v>
      </c>
      <c r="N879">
        <v>0</v>
      </c>
      <c r="O879" s="1">
        <v>45583.374016203707</v>
      </c>
      <c r="P879" t="s">
        <v>119</v>
      </c>
    </row>
    <row r="880" spans="1:16" x14ac:dyDescent="0.3">
      <c r="A880" t="s">
        <v>25</v>
      </c>
      <c r="B880" s="1">
        <v>45583.374016203707</v>
      </c>
      <c r="C880" t="str">
        <f t="shared" si="174"/>
        <v>41</v>
      </c>
      <c r="D880" t="s">
        <v>120</v>
      </c>
      <c r="E880" t="s">
        <v>116</v>
      </c>
      <c r="F880" t="s">
        <v>117</v>
      </c>
      <c r="H880" t="s">
        <v>290</v>
      </c>
      <c r="I880" t="str">
        <f>"101050002024263"</f>
        <v>101050002024263</v>
      </c>
      <c r="J880" t="str">
        <f t="shared" si="175"/>
        <v>515122</v>
      </c>
      <c r="K880" t="s">
        <v>4</v>
      </c>
      <c r="L880">
        <v>49</v>
      </c>
      <c r="M880">
        <v>49</v>
      </c>
      <c r="N880">
        <v>0</v>
      </c>
      <c r="O880" s="1">
        <v>45583.374016203707</v>
      </c>
      <c r="P880" t="s">
        <v>119</v>
      </c>
    </row>
    <row r="881" spans="1:16" x14ac:dyDescent="0.3">
      <c r="A881" t="s">
        <v>25</v>
      </c>
      <c r="B881" s="1">
        <v>45583.374016203707</v>
      </c>
      <c r="C881" t="str">
        <f t="shared" si="174"/>
        <v>41</v>
      </c>
      <c r="D881" t="s">
        <v>120</v>
      </c>
      <c r="E881" t="s">
        <v>116</v>
      </c>
      <c r="F881" t="s">
        <v>117</v>
      </c>
      <c r="H881" t="s">
        <v>290</v>
      </c>
      <c r="I881" t="str">
        <f>"101050002024260"</f>
        <v>101050002024260</v>
      </c>
      <c r="J881" t="str">
        <f t="shared" si="175"/>
        <v>515122</v>
      </c>
      <c r="K881" t="s">
        <v>4</v>
      </c>
      <c r="L881">
        <v>49</v>
      </c>
      <c r="M881">
        <v>49</v>
      </c>
      <c r="N881">
        <v>0</v>
      </c>
      <c r="O881" s="1">
        <v>45583.374016203707</v>
      </c>
      <c r="P881" t="s">
        <v>119</v>
      </c>
    </row>
    <row r="882" spans="1:16" x14ac:dyDescent="0.3">
      <c r="A882" t="s">
        <v>25</v>
      </c>
      <c r="B882" s="1">
        <v>45583.374016203707</v>
      </c>
      <c r="C882" t="str">
        <f t="shared" si="174"/>
        <v>41</v>
      </c>
      <c r="D882" t="s">
        <v>120</v>
      </c>
      <c r="E882" t="s">
        <v>116</v>
      </c>
      <c r="F882" t="s">
        <v>117</v>
      </c>
      <c r="H882" t="s">
        <v>290</v>
      </c>
      <c r="I882" t="str">
        <f>"101050002024243"</f>
        <v>101050002024243</v>
      </c>
      <c r="J882" t="str">
        <f t="shared" si="175"/>
        <v>515122</v>
      </c>
      <c r="K882" t="s">
        <v>4</v>
      </c>
      <c r="L882">
        <v>49</v>
      </c>
      <c r="M882">
        <v>49</v>
      </c>
      <c r="N882">
        <v>0</v>
      </c>
      <c r="O882" s="1">
        <v>45583.374016203707</v>
      </c>
      <c r="P882" t="s">
        <v>119</v>
      </c>
    </row>
    <row r="883" spans="1:16" x14ac:dyDescent="0.3">
      <c r="A883" t="s">
        <v>25</v>
      </c>
      <c r="B883" s="1">
        <v>45583.374016203707</v>
      </c>
      <c r="C883" t="str">
        <f t="shared" si="174"/>
        <v>41</v>
      </c>
      <c r="D883" t="s">
        <v>120</v>
      </c>
      <c r="E883" t="s">
        <v>116</v>
      </c>
      <c r="F883" t="s">
        <v>117</v>
      </c>
      <c r="H883" t="s">
        <v>290</v>
      </c>
      <c r="I883" t="str">
        <f>"101050002024186"</f>
        <v>101050002024186</v>
      </c>
      <c r="J883" t="str">
        <f t="shared" si="175"/>
        <v>515122</v>
      </c>
      <c r="K883" t="s">
        <v>4</v>
      </c>
      <c r="L883">
        <v>49</v>
      </c>
      <c r="M883">
        <v>49</v>
      </c>
      <c r="N883">
        <v>0</v>
      </c>
      <c r="O883" s="1">
        <v>45583.374016203707</v>
      </c>
      <c r="P883" t="s">
        <v>119</v>
      </c>
    </row>
    <row r="884" spans="1:16" x14ac:dyDescent="0.3">
      <c r="A884" t="s">
        <v>25</v>
      </c>
      <c r="B884" s="1">
        <v>45583.374016203707</v>
      </c>
      <c r="C884" t="str">
        <f t="shared" si="174"/>
        <v>41</v>
      </c>
      <c r="D884" t="s">
        <v>120</v>
      </c>
      <c r="E884" t="s">
        <v>116</v>
      </c>
      <c r="F884" t="s">
        <v>117</v>
      </c>
      <c r="H884" t="s">
        <v>290</v>
      </c>
      <c r="I884" t="str">
        <f>"101050002024184"</f>
        <v>101050002024184</v>
      </c>
      <c r="J884" t="str">
        <f t="shared" si="175"/>
        <v>515122</v>
      </c>
      <c r="K884" t="s">
        <v>4</v>
      </c>
      <c r="L884">
        <v>49</v>
      </c>
      <c r="M884">
        <v>49</v>
      </c>
      <c r="N884">
        <v>0</v>
      </c>
      <c r="O884" s="1">
        <v>45583.374016203707</v>
      </c>
      <c r="P884" t="s">
        <v>119</v>
      </c>
    </row>
    <row r="885" spans="1:16" x14ac:dyDescent="0.3">
      <c r="A885" t="s">
        <v>25</v>
      </c>
      <c r="B885" s="1">
        <v>45583.371145833335</v>
      </c>
      <c r="C885" t="str">
        <f>"38"</f>
        <v>38</v>
      </c>
      <c r="D885" t="s">
        <v>115</v>
      </c>
      <c r="E885" t="s">
        <v>116</v>
      </c>
      <c r="F885" t="s">
        <v>117</v>
      </c>
      <c r="H885" t="s">
        <v>291</v>
      </c>
      <c r="L885">
        <v>0</v>
      </c>
      <c r="M885">
        <v>0</v>
      </c>
      <c r="N885">
        <v>0</v>
      </c>
      <c r="O885" s="1">
        <v>45583.371145833335</v>
      </c>
      <c r="P885" t="s">
        <v>119</v>
      </c>
    </row>
    <row r="886" spans="1:16" x14ac:dyDescent="0.3">
      <c r="A886" t="s">
        <v>25</v>
      </c>
      <c r="B886" s="1">
        <v>45583.371145833335</v>
      </c>
      <c r="C886" t="str">
        <f t="shared" ref="C886:C896" si="176">"41"</f>
        <v>41</v>
      </c>
      <c r="D886" t="s">
        <v>120</v>
      </c>
      <c r="E886" t="s">
        <v>116</v>
      </c>
      <c r="F886" t="s">
        <v>117</v>
      </c>
      <c r="H886" t="s">
        <v>291</v>
      </c>
      <c r="I886" t="str">
        <f>"101050002020237"</f>
        <v>101050002020237</v>
      </c>
      <c r="J886" t="str">
        <f t="shared" ref="J886:J892" si="177">"127802"</f>
        <v>127802</v>
      </c>
      <c r="K886" t="s">
        <v>6</v>
      </c>
      <c r="L886">
        <v>91</v>
      </c>
      <c r="M886">
        <v>91</v>
      </c>
      <c r="N886">
        <v>0</v>
      </c>
      <c r="O886" s="1">
        <v>45583.371145833335</v>
      </c>
      <c r="P886" t="s">
        <v>119</v>
      </c>
    </row>
    <row r="887" spans="1:16" x14ac:dyDescent="0.3">
      <c r="A887" t="s">
        <v>25</v>
      </c>
      <c r="B887" s="1">
        <v>45583.371134259258</v>
      </c>
      <c r="C887" t="str">
        <f t="shared" si="176"/>
        <v>41</v>
      </c>
      <c r="D887" t="s">
        <v>120</v>
      </c>
      <c r="E887" t="s">
        <v>116</v>
      </c>
      <c r="F887" t="s">
        <v>117</v>
      </c>
      <c r="H887" t="s">
        <v>291</v>
      </c>
      <c r="I887" t="str">
        <f>"101050002020238"</f>
        <v>101050002020238</v>
      </c>
      <c r="J887" t="str">
        <f t="shared" si="177"/>
        <v>127802</v>
      </c>
      <c r="K887" t="s">
        <v>6</v>
      </c>
      <c r="L887">
        <v>91</v>
      </c>
      <c r="M887">
        <v>91</v>
      </c>
      <c r="N887">
        <v>0</v>
      </c>
      <c r="O887" s="1">
        <v>45583.371134259258</v>
      </c>
      <c r="P887" t="s">
        <v>119</v>
      </c>
    </row>
    <row r="888" spans="1:16" x14ac:dyDescent="0.3">
      <c r="A888" t="s">
        <v>25</v>
      </c>
      <c r="B888" s="1">
        <v>45583.371134259258</v>
      </c>
      <c r="C888" t="str">
        <f t="shared" si="176"/>
        <v>41</v>
      </c>
      <c r="D888" t="s">
        <v>120</v>
      </c>
      <c r="E888" t="s">
        <v>116</v>
      </c>
      <c r="F888" t="s">
        <v>117</v>
      </c>
      <c r="H888" t="s">
        <v>291</v>
      </c>
      <c r="I888" t="str">
        <f>"101050002017051"</f>
        <v>101050002017051</v>
      </c>
      <c r="J888" t="str">
        <f t="shared" si="177"/>
        <v>127802</v>
      </c>
      <c r="K888" t="s">
        <v>6</v>
      </c>
      <c r="L888">
        <v>91</v>
      </c>
      <c r="M888">
        <v>91</v>
      </c>
      <c r="N888">
        <v>0</v>
      </c>
      <c r="O888" s="1">
        <v>45583.371134259258</v>
      </c>
      <c r="P888" t="s">
        <v>119</v>
      </c>
    </row>
    <row r="889" spans="1:16" x14ac:dyDescent="0.3">
      <c r="A889" t="s">
        <v>25</v>
      </c>
      <c r="B889" s="1">
        <v>45583.371134259258</v>
      </c>
      <c r="C889" t="str">
        <f t="shared" si="176"/>
        <v>41</v>
      </c>
      <c r="D889" t="s">
        <v>120</v>
      </c>
      <c r="E889" t="s">
        <v>116</v>
      </c>
      <c r="F889" t="s">
        <v>117</v>
      </c>
      <c r="H889" t="s">
        <v>291</v>
      </c>
      <c r="I889" t="str">
        <f>"101050002017059"</f>
        <v>101050002017059</v>
      </c>
      <c r="J889" t="str">
        <f t="shared" si="177"/>
        <v>127802</v>
      </c>
      <c r="K889" t="s">
        <v>6</v>
      </c>
      <c r="L889">
        <v>91</v>
      </c>
      <c r="M889">
        <v>91</v>
      </c>
      <c r="N889">
        <v>0</v>
      </c>
      <c r="O889" s="1">
        <v>45583.371134259258</v>
      </c>
      <c r="P889" t="s">
        <v>119</v>
      </c>
    </row>
    <row r="890" spans="1:16" x14ac:dyDescent="0.3">
      <c r="A890" t="s">
        <v>25</v>
      </c>
      <c r="B890" s="1">
        <v>45583.371134259258</v>
      </c>
      <c r="C890" t="str">
        <f t="shared" si="176"/>
        <v>41</v>
      </c>
      <c r="D890" t="s">
        <v>120</v>
      </c>
      <c r="E890" t="s">
        <v>116</v>
      </c>
      <c r="F890" t="s">
        <v>117</v>
      </c>
      <c r="H890" t="s">
        <v>291</v>
      </c>
      <c r="I890" t="str">
        <f>"101050002016801"</f>
        <v>101050002016801</v>
      </c>
      <c r="J890" t="str">
        <f t="shared" si="177"/>
        <v>127802</v>
      </c>
      <c r="K890" t="s">
        <v>6</v>
      </c>
      <c r="L890">
        <v>91</v>
      </c>
      <c r="M890">
        <v>91</v>
      </c>
      <c r="N890">
        <v>0</v>
      </c>
      <c r="O890" s="1">
        <v>45583.371134259258</v>
      </c>
      <c r="P890" t="s">
        <v>119</v>
      </c>
    </row>
    <row r="891" spans="1:16" x14ac:dyDescent="0.3">
      <c r="A891" t="s">
        <v>25</v>
      </c>
      <c r="B891" s="1">
        <v>45583.371134259258</v>
      </c>
      <c r="C891" t="str">
        <f t="shared" si="176"/>
        <v>41</v>
      </c>
      <c r="D891" t="s">
        <v>120</v>
      </c>
      <c r="E891" t="s">
        <v>116</v>
      </c>
      <c r="F891" t="s">
        <v>117</v>
      </c>
      <c r="H891" t="s">
        <v>291</v>
      </c>
      <c r="I891" t="str">
        <f>"101050002016799"</f>
        <v>101050002016799</v>
      </c>
      <c r="J891" t="str">
        <f t="shared" si="177"/>
        <v>127802</v>
      </c>
      <c r="K891" t="s">
        <v>6</v>
      </c>
      <c r="L891">
        <v>91</v>
      </c>
      <c r="M891">
        <v>91</v>
      </c>
      <c r="N891">
        <v>0</v>
      </c>
      <c r="O891" s="1">
        <v>45583.371134259258</v>
      </c>
      <c r="P891" t="s">
        <v>119</v>
      </c>
    </row>
    <row r="892" spans="1:16" x14ac:dyDescent="0.3">
      <c r="A892" t="s">
        <v>25</v>
      </c>
      <c r="B892" s="1">
        <v>45583.371134259258</v>
      </c>
      <c r="C892" t="str">
        <f t="shared" si="176"/>
        <v>41</v>
      </c>
      <c r="D892" t="s">
        <v>120</v>
      </c>
      <c r="E892" t="s">
        <v>116</v>
      </c>
      <c r="F892" t="s">
        <v>117</v>
      </c>
      <c r="H892" t="s">
        <v>291</v>
      </c>
      <c r="I892" t="str">
        <f>"101050002017056"</f>
        <v>101050002017056</v>
      </c>
      <c r="J892" t="str">
        <f t="shared" si="177"/>
        <v>127802</v>
      </c>
      <c r="K892" t="s">
        <v>6</v>
      </c>
      <c r="L892">
        <v>91</v>
      </c>
      <c r="M892">
        <v>91</v>
      </c>
      <c r="N892">
        <v>0</v>
      </c>
      <c r="O892" s="1">
        <v>45583.371134259258</v>
      </c>
      <c r="P892" t="s">
        <v>119</v>
      </c>
    </row>
    <row r="893" spans="1:16" x14ac:dyDescent="0.3">
      <c r="A893" t="s">
        <v>25</v>
      </c>
      <c r="B893" s="1">
        <v>45583.372627314813</v>
      </c>
      <c r="C893" t="str">
        <f t="shared" si="176"/>
        <v>41</v>
      </c>
      <c r="D893" t="s">
        <v>120</v>
      </c>
      <c r="E893" t="s">
        <v>116</v>
      </c>
      <c r="F893" t="s">
        <v>117</v>
      </c>
      <c r="H893" t="s">
        <v>289</v>
      </c>
      <c r="I893" t="str">
        <f>"101050002005212"</f>
        <v>101050002005212</v>
      </c>
      <c r="J893" t="str">
        <f>"515061"</f>
        <v>515061</v>
      </c>
      <c r="K893" t="s">
        <v>96</v>
      </c>
      <c r="L893">
        <v>49</v>
      </c>
      <c r="M893">
        <v>49</v>
      </c>
      <c r="N893">
        <v>0</v>
      </c>
      <c r="O893" s="1">
        <v>45583.372627314813</v>
      </c>
      <c r="P893" t="s">
        <v>122</v>
      </c>
    </row>
    <row r="894" spans="1:16" x14ac:dyDescent="0.3">
      <c r="A894" t="s">
        <v>25</v>
      </c>
      <c r="B894" s="1">
        <v>45583.372627314813</v>
      </c>
      <c r="C894" t="str">
        <f t="shared" si="176"/>
        <v>41</v>
      </c>
      <c r="D894" t="s">
        <v>120</v>
      </c>
      <c r="E894" t="s">
        <v>116</v>
      </c>
      <c r="F894" t="s">
        <v>117</v>
      </c>
      <c r="H894" t="s">
        <v>289</v>
      </c>
      <c r="I894" t="str">
        <f>"101050002004881"</f>
        <v>101050002004881</v>
      </c>
      <c r="J894" t="str">
        <f>"515061"</f>
        <v>515061</v>
      </c>
      <c r="K894" t="s">
        <v>96</v>
      </c>
      <c r="L894">
        <v>49</v>
      </c>
      <c r="M894">
        <v>49</v>
      </c>
      <c r="N894">
        <v>0</v>
      </c>
      <c r="O894" s="1">
        <v>45583.372627314813</v>
      </c>
      <c r="P894" t="s">
        <v>122</v>
      </c>
    </row>
    <row r="895" spans="1:16" x14ac:dyDescent="0.3">
      <c r="A895" t="s">
        <v>25</v>
      </c>
      <c r="B895" s="1">
        <v>45583.372627314813</v>
      </c>
      <c r="C895" t="str">
        <f t="shared" si="176"/>
        <v>41</v>
      </c>
      <c r="D895" t="s">
        <v>120</v>
      </c>
      <c r="E895" t="s">
        <v>116</v>
      </c>
      <c r="F895" t="s">
        <v>117</v>
      </c>
      <c r="H895" t="s">
        <v>289</v>
      </c>
      <c r="I895" t="str">
        <f>"101050002004504"</f>
        <v>101050002004504</v>
      </c>
      <c r="J895" t="str">
        <f>"515061"</f>
        <v>515061</v>
      </c>
      <c r="K895" t="s">
        <v>96</v>
      </c>
      <c r="L895">
        <v>49</v>
      </c>
      <c r="M895">
        <v>49</v>
      </c>
      <c r="N895">
        <v>0</v>
      </c>
      <c r="O895" s="1">
        <v>45583.372627314813</v>
      </c>
      <c r="P895" t="s">
        <v>122</v>
      </c>
    </row>
    <row r="896" spans="1:16" x14ac:dyDescent="0.3">
      <c r="A896" t="s">
        <v>25</v>
      </c>
      <c r="B896" s="1">
        <v>45583.372627314813</v>
      </c>
      <c r="C896" t="str">
        <f t="shared" si="176"/>
        <v>41</v>
      </c>
      <c r="D896" t="s">
        <v>120</v>
      </c>
      <c r="E896" t="s">
        <v>116</v>
      </c>
      <c r="F896" t="s">
        <v>117</v>
      </c>
      <c r="H896" t="s">
        <v>289</v>
      </c>
      <c r="I896" t="str">
        <f>"101050002004502"</f>
        <v>101050002004502</v>
      </c>
      <c r="J896" t="str">
        <f>"515061"</f>
        <v>515061</v>
      </c>
      <c r="K896" t="s">
        <v>96</v>
      </c>
      <c r="L896">
        <v>49</v>
      </c>
      <c r="M896">
        <v>49</v>
      </c>
      <c r="N896">
        <v>0</v>
      </c>
      <c r="O896" s="1">
        <v>45583.372627314813</v>
      </c>
      <c r="P896" t="s">
        <v>122</v>
      </c>
    </row>
    <row r="897" spans="1:16" x14ac:dyDescent="0.3">
      <c r="A897" t="s">
        <v>25</v>
      </c>
      <c r="B897" s="1">
        <v>45583.371215277781</v>
      </c>
      <c r="C897" t="str">
        <f>"38"</f>
        <v>38</v>
      </c>
      <c r="D897" t="s">
        <v>115</v>
      </c>
      <c r="E897" t="s">
        <v>116</v>
      </c>
      <c r="F897" t="s">
        <v>117</v>
      </c>
      <c r="H897" t="s">
        <v>292</v>
      </c>
      <c r="L897">
        <v>0</v>
      </c>
      <c r="M897">
        <v>0</v>
      </c>
      <c r="N897">
        <v>0</v>
      </c>
      <c r="O897" s="1">
        <v>45583.371215277781</v>
      </c>
      <c r="P897" t="s">
        <v>122</v>
      </c>
    </row>
    <row r="898" spans="1:16" x14ac:dyDescent="0.3">
      <c r="A898" t="s">
        <v>25</v>
      </c>
      <c r="B898" s="1">
        <v>45583.371215277781</v>
      </c>
      <c r="C898" t="str">
        <f t="shared" ref="C898:C904" si="178">"41"</f>
        <v>41</v>
      </c>
      <c r="D898" t="s">
        <v>120</v>
      </c>
      <c r="E898" t="s">
        <v>116</v>
      </c>
      <c r="F898" t="s">
        <v>117</v>
      </c>
      <c r="H898" t="s">
        <v>292</v>
      </c>
      <c r="I898" t="str">
        <f>"101050002024693"</f>
        <v>101050002024693</v>
      </c>
      <c r="J898" t="str">
        <f t="shared" ref="J898:J904" si="179">"515120"</f>
        <v>515120</v>
      </c>
      <c r="K898" t="s">
        <v>2</v>
      </c>
      <c r="L898">
        <v>49</v>
      </c>
      <c r="M898">
        <v>49</v>
      </c>
      <c r="N898">
        <v>0</v>
      </c>
      <c r="O898" s="1">
        <v>45583.371215277781</v>
      </c>
      <c r="P898" t="s">
        <v>122</v>
      </c>
    </row>
    <row r="899" spans="1:16" x14ac:dyDescent="0.3">
      <c r="A899" t="s">
        <v>25</v>
      </c>
      <c r="B899" s="1">
        <v>45583.371215277781</v>
      </c>
      <c r="C899" t="str">
        <f t="shared" si="178"/>
        <v>41</v>
      </c>
      <c r="D899" t="s">
        <v>120</v>
      </c>
      <c r="E899" t="s">
        <v>116</v>
      </c>
      <c r="F899" t="s">
        <v>117</v>
      </c>
      <c r="H899" t="s">
        <v>292</v>
      </c>
      <c r="I899" t="str">
        <f>"101050002024671"</f>
        <v>101050002024671</v>
      </c>
      <c r="J899" t="str">
        <f t="shared" si="179"/>
        <v>515120</v>
      </c>
      <c r="K899" t="s">
        <v>2</v>
      </c>
      <c r="L899">
        <v>49</v>
      </c>
      <c r="M899">
        <v>49</v>
      </c>
      <c r="N899">
        <v>0</v>
      </c>
      <c r="O899" s="1">
        <v>45583.371215277781</v>
      </c>
      <c r="P899" t="s">
        <v>122</v>
      </c>
    </row>
    <row r="900" spans="1:16" x14ac:dyDescent="0.3">
      <c r="A900" t="s">
        <v>25</v>
      </c>
      <c r="B900" s="1">
        <v>45583.371215277781</v>
      </c>
      <c r="C900" t="str">
        <f t="shared" si="178"/>
        <v>41</v>
      </c>
      <c r="D900" t="s">
        <v>120</v>
      </c>
      <c r="E900" t="s">
        <v>116</v>
      </c>
      <c r="F900" t="s">
        <v>117</v>
      </c>
      <c r="H900" t="s">
        <v>292</v>
      </c>
      <c r="I900" t="str">
        <f>"101050002024647"</f>
        <v>101050002024647</v>
      </c>
      <c r="J900" t="str">
        <f t="shared" si="179"/>
        <v>515120</v>
      </c>
      <c r="K900" t="s">
        <v>2</v>
      </c>
      <c r="L900">
        <v>49</v>
      </c>
      <c r="M900">
        <v>49</v>
      </c>
      <c r="N900">
        <v>0</v>
      </c>
      <c r="O900" s="1">
        <v>45583.371215277781</v>
      </c>
      <c r="P900" t="s">
        <v>122</v>
      </c>
    </row>
    <row r="901" spans="1:16" x14ac:dyDescent="0.3">
      <c r="A901" t="s">
        <v>25</v>
      </c>
      <c r="B901" s="1">
        <v>45583.371203703704</v>
      </c>
      <c r="C901" t="str">
        <f t="shared" si="178"/>
        <v>41</v>
      </c>
      <c r="D901" t="s">
        <v>120</v>
      </c>
      <c r="E901" t="s">
        <v>116</v>
      </c>
      <c r="F901" t="s">
        <v>117</v>
      </c>
      <c r="H901" t="s">
        <v>292</v>
      </c>
      <c r="I901" t="str">
        <f>"101050002024673"</f>
        <v>101050002024673</v>
      </c>
      <c r="J901" t="str">
        <f t="shared" si="179"/>
        <v>515120</v>
      </c>
      <c r="K901" t="s">
        <v>2</v>
      </c>
      <c r="L901">
        <v>49</v>
      </c>
      <c r="M901">
        <v>49</v>
      </c>
      <c r="N901">
        <v>0</v>
      </c>
      <c r="O901" s="1">
        <v>45583.371203703704</v>
      </c>
      <c r="P901" t="s">
        <v>122</v>
      </c>
    </row>
    <row r="902" spans="1:16" x14ac:dyDescent="0.3">
      <c r="A902" t="s">
        <v>25</v>
      </c>
      <c r="B902" s="1">
        <v>45583.371203703704</v>
      </c>
      <c r="C902" t="str">
        <f t="shared" si="178"/>
        <v>41</v>
      </c>
      <c r="D902" t="s">
        <v>120</v>
      </c>
      <c r="E902" t="s">
        <v>116</v>
      </c>
      <c r="F902" t="s">
        <v>117</v>
      </c>
      <c r="H902" t="s">
        <v>292</v>
      </c>
      <c r="I902" t="str">
        <f>"101050002024226"</f>
        <v>101050002024226</v>
      </c>
      <c r="J902" t="str">
        <f t="shared" si="179"/>
        <v>515120</v>
      </c>
      <c r="K902" t="s">
        <v>2</v>
      </c>
      <c r="L902">
        <v>49</v>
      </c>
      <c r="M902">
        <v>49</v>
      </c>
      <c r="N902">
        <v>0</v>
      </c>
      <c r="O902" s="1">
        <v>45583.371203703704</v>
      </c>
      <c r="P902" t="s">
        <v>122</v>
      </c>
    </row>
    <row r="903" spans="1:16" x14ac:dyDescent="0.3">
      <c r="A903" t="s">
        <v>25</v>
      </c>
      <c r="B903" s="1">
        <v>45583.371203703704</v>
      </c>
      <c r="C903" t="str">
        <f t="shared" si="178"/>
        <v>41</v>
      </c>
      <c r="D903" t="s">
        <v>120</v>
      </c>
      <c r="E903" t="s">
        <v>116</v>
      </c>
      <c r="F903" t="s">
        <v>117</v>
      </c>
      <c r="H903" t="s">
        <v>292</v>
      </c>
      <c r="I903" t="str">
        <f>"101050002024223"</f>
        <v>101050002024223</v>
      </c>
      <c r="J903" t="str">
        <f t="shared" si="179"/>
        <v>515120</v>
      </c>
      <c r="K903" t="s">
        <v>2</v>
      </c>
      <c r="L903">
        <v>49</v>
      </c>
      <c r="M903">
        <v>49</v>
      </c>
      <c r="N903">
        <v>0</v>
      </c>
      <c r="O903" s="1">
        <v>45583.371203703704</v>
      </c>
      <c r="P903" t="s">
        <v>122</v>
      </c>
    </row>
    <row r="904" spans="1:16" x14ac:dyDescent="0.3">
      <c r="A904" t="s">
        <v>25</v>
      </c>
      <c r="B904" s="1">
        <v>45583.371203703704</v>
      </c>
      <c r="C904" t="str">
        <f t="shared" si="178"/>
        <v>41</v>
      </c>
      <c r="D904" t="s">
        <v>120</v>
      </c>
      <c r="E904" t="s">
        <v>116</v>
      </c>
      <c r="F904" t="s">
        <v>117</v>
      </c>
      <c r="H904" t="s">
        <v>292</v>
      </c>
      <c r="I904" t="str">
        <f>"101050002024201"</f>
        <v>101050002024201</v>
      </c>
      <c r="J904" t="str">
        <f t="shared" si="179"/>
        <v>515120</v>
      </c>
      <c r="K904" t="s">
        <v>2</v>
      </c>
      <c r="L904">
        <v>49</v>
      </c>
      <c r="M904">
        <v>49</v>
      </c>
      <c r="N904">
        <v>0</v>
      </c>
      <c r="O904" s="1">
        <v>45583.371203703704</v>
      </c>
      <c r="P904" t="s">
        <v>122</v>
      </c>
    </row>
    <row r="905" spans="1:16" x14ac:dyDescent="0.3">
      <c r="A905" t="s">
        <v>25</v>
      </c>
      <c r="B905" s="1">
        <v>45583.368159722224</v>
      </c>
      <c r="C905" t="str">
        <f>"38"</f>
        <v>38</v>
      </c>
      <c r="D905" t="s">
        <v>115</v>
      </c>
      <c r="E905" t="s">
        <v>116</v>
      </c>
      <c r="F905" t="s">
        <v>117</v>
      </c>
      <c r="H905" t="s">
        <v>293</v>
      </c>
      <c r="L905">
        <v>0</v>
      </c>
      <c r="M905">
        <v>0</v>
      </c>
      <c r="N905">
        <v>0</v>
      </c>
      <c r="O905" s="1">
        <v>45583.368159722224</v>
      </c>
      <c r="P905" t="s">
        <v>119</v>
      </c>
    </row>
    <row r="906" spans="1:16" x14ac:dyDescent="0.3">
      <c r="A906" t="s">
        <v>25</v>
      </c>
      <c r="B906" s="1">
        <v>45583.368159722224</v>
      </c>
      <c r="C906" t="str">
        <f t="shared" ref="C906:C912" si="180">"41"</f>
        <v>41</v>
      </c>
      <c r="D906" t="s">
        <v>120</v>
      </c>
      <c r="E906" t="s">
        <v>116</v>
      </c>
      <c r="F906" t="s">
        <v>117</v>
      </c>
      <c r="H906" t="s">
        <v>293</v>
      </c>
      <c r="I906" t="str">
        <f>"101050002023677"</f>
        <v>101050002023677</v>
      </c>
      <c r="J906" t="str">
        <f t="shared" ref="J906:J912" si="181">"515122"</f>
        <v>515122</v>
      </c>
      <c r="K906" t="s">
        <v>4</v>
      </c>
      <c r="L906">
        <v>49</v>
      </c>
      <c r="M906">
        <v>49</v>
      </c>
      <c r="N906">
        <v>0</v>
      </c>
      <c r="O906" s="1">
        <v>45583.368159722224</v>
      </c>
      <c r="P906" t="s">
        <v>119</v>
      </c>
    </row>
    <row r="907" spans="1:16" x14ac:dyDescent="0.3">
      <c r="A907" t="s">
        <v>25</v>
      </c>
      <c r="B907" s="1">
        <v>45583.368159722224</v>
      </c>
      <c r="C907" t="str">
        <f t="shared" si="180"/>
        <v>41</v>
      </c>
      <c r="D907" t="s">
        <v>120</v>
      </c>
      <c r="E907" t="s">
        <v>116</v>
      </c>
      <c r="F907" t="s">
        <v>117</v>
      </c>
      <c r="H907" t="s">
        <v>293</v>
      </c>
      <c r="I907" t="str">
        <f>"101050002023726"</f>
        <v>101050002023726</v>
      </c>
      <c r="J907" t="str">
        <f t="shared" si="181"/>
        <v>515122</v>
      </c>
      <c r="K907" t="s">
        <v>4</v>
      </c>
      <c r="L907">
        <v>49</v>
      </c>
      <c r="M907">
        <v>49</v>
      </c>
      <c r="N907">
        <v>0</v>
      </c>
      <c r="O907" s="1">
        <v>45583.368159722224</v>
      </c>
      <c r="P907" t="s">
        <v>119</v>
      </c>
    </row>
    <row r="908" spans="1:16" x14ac:dyDescent="0.3">
      <c r="A908" t="s">
        <v>25</v>
      </c>
      <c r="B908" s="1">
        <v>45583.368159722224</v>
      </c>
      <c r="C908" t="str">
        <f t="shared" si="180"/>
        <v>41</v>
      </c>
      <c r="D908" t="s">
        <v>120</v>
      </c>
      <c r="E908" t="s">
        <v>116</v>
      </c>
      <c r="F908" t="s">
        <v>117</v>
      </c>
      <c r="H908" t="s">
        <v>293</v>
      </c>
      <c r="I908" t="str">
        <f>"101050002023729"</f>
        <v>101050002023729</v>
      </c>
      <c r="J908" t="str">
        <f t="shared" si="181"/>
        <v>515122</v>
      </c>
      <c r="K908" t="s">
        <v>4</v>
      </c>
      <c r="L908">
        <v>49</v>
      </c>
      <c r="M908">
        <v>49</v>
      </c>
      <c r="N908">
        <v>0</v>
      </c>
      <c r="O908" s="1">
        <v>45583.368159722224</v>
      </c>
      <c r="P908" t="s">
        <v>119</v>
      </c>
    </row>
    <row r="909" spans="1:16" x14ac:dyDescent="0.3">
      <c r="A909" t="s">
        <v>25</v>
      </c>
      <c r="B909" s="1">
        <v>45583.368159722224</v>
      </c>
      <c r="C909" t="str">
        <f t="shared" si="180"/>
        <v>41</v>
      </c>
      <c r="D909" t="s">
        <v>120</v>
      </c>
      <c r="E909" t="s">
        <v>116</v>
      </c>
      <c r="F909" t="s">
        <v>117</v>
      </c>
      <c r="H909" t="s">
        <v>293</v>
      </c>
      <c r="I909" t="str">
        <f>"101050002023725"</f>
        <v>101050002023725</v>
      </c>
      <c r="J909" t="str">
        <f t="shared" si="181"/>
        <v>515122</v>
      </c>
      <c r="K909" t="s">
        <v>4</v>
      </c>
      <c r="L909">
        <v>49</v>
      </c>
      <c r="M909">
        <v>49</v>
      </c>
      <c r="N909">
        <v>0</v>
      </c>
      <c r="O909" s="1">
        <v>45583.368159722224</v>
      </c>
      <c r="P909" t="s">
        <v>119</v>
      </c>
    </row>
    <row r="910" spans="1:16" x14ac:dyDescent="0.3">
      <c r="A910" t="s">
        <v>25</v>
      </c>
      <c r="B910" s="1">
        <v>45583.368159722224</v>
      </c>
      <c r="C910" t="str">
        <f t="shared" si="180"/>
        <v>41</v>
      </c>
      <c r="D910" t="s">
        <v>120</v>
      </c>
      <c r="E910" t="s">
        <v>116</v>
      </c>
      <c r="F910" t="s">
        <v>117</v>
      </c>
      <c r="H910" t="s">
        <v>293</v>
      </c>
      <c r="I910" t="str">
        <f>"101050002023525"</f>
        <v>101050002023525</v>
      </c>
      <c r="J910" t="str">
        <f t="shared" si="181"/>
        <v>515122</v>
      </c>
      <c r="K910" t="s">
        <v>4</v>
      </c>
      <c r="L910">
        <v>49</v>
      </c>
      <c r="M910">
        <v>49</v>
      </c>
      <c r="N910">
        <v>0</v>
      </c>
      <c r="O910" s="1">
        <v>45583.368159722224</v>
      </c>
      <c r="P910" t="s">
        <v>119</v>
      </c>
    </row>
    <row r="911" spans="1:16" x14ac:dyDescent="0.3">
      <c r="A911" t="s">
        <v>25</v>
      </c>
      <c r="B911" s="1">
        <v>45583.368159722224</v>
      </c>
      <c r="C911" t="str">
        <f t="shared" si="180"/>
        <v>41</v>
      </c>
      <c r="D911" t="s">
        <v>120</v>
      </c>
      <c r="E911" t="s">
        <v>116</v>
      </c>
      <c r="F911" t="s">
        <v>117</v>
      </c>
      <c r="H911" t="s">
        <v>293</v>
      </c>
      <c r="I911" t="str">
        <f>"101050002023589"</f>
        <v>101050002023589</v>
      </c>
      <c r="J911" t="str">
        <f t="shared" si="181"/>
        <v>515122</v>
      </c>
      <c r="K911" t="s">
        <v>4</v>
      </c>
      <c r="L911">
        <v>49</v>
      </c>
      <c r="M911">
        <v>49</v>
      </c>
      <c r="N911">
        <v>0</v>
      </c>
      <c r="O911" s="1">
        <v>45583.368159722224</v>
      </c>
      <c r="P911" t="s">
        <v>119</v>
      </c>
    </row>
    <row r="912" spans="1:16" x14ac:dyDescent="0.3">
      <c r="A912" t="s">
        <v>25</v>
      </c>
      <c r="B912" s="1">
        <v>45583.368148148147</v>
      </c>
      <c r="C912" t="str">
        <f t="shared" si="180"/>
        <v>41</v>
      </c>
      <c r="D912" t="s">
        <v>120</v>
      </c>
      <c r="E912" t="s">
        <v>116</v>
      </c>
      <c r="F912" t="s">
        <v>117</v>
      </c>
      <c r="H912" t="s">
        <v>293</v>
      </c>
      <c r="I912" t="str">
        <f>"101050002023722"</f>
        <v>101050002023722</v>
      </c>
      <c r="J912" t="str">
        <f t="shared" si="181"/>
        <v>515122</v>
      </c>
      <c r="K912" t="s">
        <v>4</v>
      </c>
      <c r="L912">
        <v>49</v>
      </c>
      <c r="M912">
        <v>49</v>
      </c>
      <c r="N912">
        <v>0</v>
      </c>
      <c r="O912" s="1">
        <v>45583.368148148147</v>
      </c>
      <c r="P912" t="s">
        <v>119</v>
      </c>
    </row>
    <row r="913" spans="1:16" x14ac:dyDescent="0.3">
      <c r="A913" t="s">
        <v>25</v>
      </c>
      <c r="B913" s="1">
        <v>45583.366828703707</v>
      </c>
      <c r="C913" t="str">
        <f>"38"</f>
        <v>38</v>
      </c>
      <c r="D913" t="s">
        <v>115</v>
      </c>
      <c r="E913" t="s">
        <v>116</v>
      </c>
      <c r="F913" t="s">
        <v>117</v>
      </c>
      <c r="H913" t="s">
        <v>294</v>
      </c>
      <c r="L913">
        <v>0</v>
      </c>
      <c r="M913">
        <v>0</v>
      </c>
      <c r="N913">
        <v>0</v>
      </c>
      <c r="O913" s="1">
        <v>45583.366828703707</v>
      </c>
      <c r="P913" t="s">
        <v>119</v>
      </c>
    </row>
    <row r="914" spans="1:16" x14ac:dyDescent="0.3">
      <c r="A914" t="s">
        <v>25</v>
      </c>
      <c r="B914" s="1">
        <v>45583.366828703707</v>
      </c>
      <c r="C914" t="str">
        <f t="shared" ref="C914:C920" si="182">"41"</f>
        <v>41</v>
      </c>
      <c r="D914" t="s">
        <v>120</v>
      </c>
      <c r="E914" t="s">
        <v>116</v>
      </c>
      <c r="F914" t="s">
        <v>117</v>
      </c>
      <c r="H914" t="s">
        <v>294</v>
      </c>
      <c r="I914" t="str">
        <f>"101050002023612"</f>
        <v>101050002023612</v>
      </c>
      <c r="J914" t="str">
        <f t="shared" ref="J914:J920" si="183">"515120"</f>
        <v>515120</v>
      </c>
      <c r="K914" t="s">
        <v>2</v>
      </c>
      <c r="L914">
        <v>49</v>
      </c>
      <c r="M914">
        <v>49</v>
      </c>
      <c r="N914">
        <v>0</v>
      </c>
      <c r="O914" s="1">
        <v>45583.366828703707</v>
      </c>
      <c r="P914" t="s">
        <v>119</v>
      </c>
    </row>
    <row r="915" spans="1:16" x14ac:dyDescent="0.3">
      <c r="A915" t="s">
        <v>25</v>
      </c>
      <c r="B915" s="1">
        <v>45583.366828703707</v>
      </c>
      <c r="C915" t="str">
        <f t="shared" si="182"/>
        <v>41</v>
      </c>
      <c r="D915" t="s">
        <v>120</v>
      </c>
      <c r="E915" t="s">
        <v>116</v>
      </c>
      <c r="F915" t="s">
        <v>117</v>
      </c>
      <c r="H915" t="s">
        <v>294</v>
      </c>
      <c r="I915" t="str">
        <f>"101050002023334"</f>
        <v>101050002023334</v>
      </c>
      <c r="J915" t="str">
        <f t="shared" si="183"/>
        <v>515120</v>
      </c>
      <c r="K915" t="s">
        <v>2</v>
      </c>
      <c r="L915">
        <v>49</v>
      </c>
      <c r="M915">
        <v>49</v>
      </c>
      <c r="N915">
        <v>0</v>
      </c>
      <c r="O915" s="1">
        <v>45583.366828703707</v>
      </c>
      <c r="P915" t="s">
        <v>119</v>
      </c>
    </row>
    <row r="916" spans="1:16" x14ac:dyDescent="0.3">
      <c r="A916" t="s">
        <v>25</v>
      </c>
      <c r="B916" s="1">
        <v>45583.366828703707</v>
      </c>
      <c r="C916" t="str">
        <f t="shared" si="182"/>
        <v>41</v>
      </c>
      <c r="D916" t="s">
        <v>120</v>
      </c>
      <c r="E916" t="s">
        <v>116</v>
      </c>
      <c r="F916" t="s">
        <v>117</v>
      </c>
      <c r="H916" t="s">
        <v>294</v>
      </c>
      <c r="I916" t="str">
        <f>"101050002023730"</f>
        <v>101050002023730</v>
      </c>
      <c r="J916" t="str">
        <f t="shared" si="183"/>
        <v>515120</v>
      </c>
      <c r="K916" t="s">
        <v>2</v>
      </c>
      <c r="L916">
        <v>49</v>
      </c>
      <c r="M916">
        <v>49</v>
      </c>
      <c r="N916">
        <v>0</v>
      </c>
      <c r="O916" s="1">
        <v>45583.366828703707</v>
      </c>
      <c r="P916" t="s">
        <v>119</v>
      </c>
    </row>
    <row r="917" spans="1:16" x14ac:dyDescent="0.3">
      <c r="A917" t="s">
        <v>25</v>
      </c>
      <c r="B917" s="1">
        <v>45583.366828703707</v>
      </c>
      <c r="C917" t="str">
        <f t="shared" si="182"/>
        <v>41</v>
      </c>
      <c r="D917" t="s">
        <v>120</v>
      </c>
      <c r="E917" t="s">
        <v>116</v>
      </c>
      <c r="F917" t="s">
        <v>117</v>
      </c>
      <c r="H917" t="s">
        <v>294</v>
      </c>
      <c r="I917" t="str">
        <f>"101050002023732"</f>
        <v>101050002023732</v>
      </c>
      <c r="J917" t="str">
        <f t="shared" si="183"/>
        <v>515120</v>
      </c>
      <c r="K917" t="s">
        <v>2</v>
      </c>
      <c r="L917">
        <v>49</v>
      </c>
      <c r="M917">
        <v>49</v>
      </c>
      <c r="N917">
        <v>0</v>
      </c>
      <c r="O917" s="1">
        <v>45583.366828703707</v>
      </c>
      <c r="P917" t="s">
        <v>119</v>
      </c>
    </row>
    <row r="918" spans="1:16" x14ac:dyDescent="0.3">
      <c r="A918" t="s">
        <v>25</v>
      </c>
      <c r="B918" s="1">
        <v>45583.366828703707</v>
      </c>
      <c r="C918" t="str">
        <f t="shared" si="182"/>
        <v>41</v>
      </c>
      <c r="D918" t="s">
        <v>120</v>
      </c>
      <c r="E918" t="s">
        <v>116</v>
      </c>
      <c r="F918" t="s">
        <v>117</v>
      </c>
      <c r="H918" t="s">
        <v>294</v>
      </c>
      <c r="I918" t="str">
        <f>"101050002023487"</f>
        <v>101050002023487</v>
      </c>
      <c r="J918" t="str">
        <f t="shared" si="183"/>
        <v>515120</v>
      </c>
      <c r="K918" t="s">
        <v>2</v>
      </c>
      <c r="L918">
        <v>49</v>
      </c>
      <c r="M918">
        <v>49</v>
      </c>
      <c r="N918">
        <v>0</v>
      </c>
      <c r="O918" s="1">
        <v>45583.366828703707</v>
      </c>
      <c r="P918" t="s">
        <v>119</v>
      </c>
    </row>
    <row r="919" spans="1:16" x14ac:dyDescent="0.3">
      <c r="A919" t="s">
        <v>25</v>
      </c>
      <c r="B919" s="1">
        <v>45583.366828703707</v>
      </c>
      <c r="C919" t="str">
        <f t="shared" si="182"/>
        <v>41</v>
      </c>
      <c r="D919" t="s">
        <v>120</v>
      </c>
      <c r="E919" t="s">
        <v>116</v>
      </c>
      <c r="F919" t="s">
        <v>117</v>
      </c>
      <c r="H919" t="s">
        <v>294</v>
      </c>
      <c r="I919" t="str">
        <f>"101050002022278"</f>
        <v>101050002022278</v>
      </c>
      <c r="J919" t="str">
        <f t="shared" si="183"/>
        <v>515120</v>
      </c>
      <c r="K919" t="s">
        <v>2</v>
      </c>
      <c r="L919">
        <v>49</v>
      </c>
      <c r="M919">
        <v>49</v>
      </c>
      <c r="N919">
        <v>0</v>
      </c>
      <c r="O919" s="1">
        <v>45583.366828703707</v>
      </c>
      <c r="P919" t="s">
        <v>119</v>
      </c>
    </row>
    <row r="920" spans="1:16" x14ac:dyDescent="0.3">
      <c r="A920" t="s">
        <v>25</v>
      </c>
      <c r="B920" s="1">
        <v>45583.36681712963</v>
      </c>
      <c r="C920" t="str">
        <f t="shared" si="182"/>
        <v>41</v>
      </c>
      <c r="D920" t="s">
        <v>120</v>
      </c>
      <c r="E920" t="s">
        <v>116</v>
      </c>
      <c r="F920" t="s">
        <v>117</v>
      </c>
      <c r="H920" t="s">
        <v>294</v>
      </c>
      <c r="I920" t="str">
        <f>"101050002022636"</f>
        <v>101050002022636</v>
      </c>
      <c r="J920" t="str">
        <f t="shared" si="183"/>
        <v>515120</v>
      </c>
      <c r="K920" t="s">
        <v>2</v>
      </c>
      <c r="L920">
        <v>49</v>
      </c>
      <c r="M920">
        <v>49</v>
      </c>
      <c r="N920">
        <v>0</v>
      </c>
      <c r="O920" s="1">
        <v>45583.36681712963</v>
      </c>
      <c r="P920" t="s">
        <v>119</v>
      </c>
    </row>
    <row r="921" spans="1:16" x14ac:dyDescent="0.3">
      <c r="A921" t="s">
        <v>25</v>
      </c>
      <c r="B921" s="1">
        <v>45583.364004629628</v>
      </c>
      <c r="C921" t="str">
        <f>"38"</f>
        <v>38</v>
      </c>
      <c r="D921" t="s">
        <v>115</v>
      </c>
      <c r="E921" t="s">
        <v>116</v>
      </c>
      <c r="F921" t="s">
        <v>117</v>
      </c>
      <c r="H921" t="s">
        <v>295</v>
      </c>
      <c r="L921">
        <v>0</v>
      </c>
      <c r="M921">
        <v>0</v>
      </c>
      <c r="N921">
        <v>0</v>
      </c>
      <c r="O921" s="1">
        <v>45583.364004629628</v>
      </c>
      <c r="P921" t="s">
        <v>119</v>
      </c>
    </row>
    <row r="922" spans="1:16" x14ac:dyDescent="0.3">
      <c r="A922" t="s">
        <v>25</v>
      </c>
      <c r="B922" s="1">
        <v>45583.364004629628</v>
      </c>
      <c r="C922" t="str">
        <f t="shared" ref="C922:C928" si="184">"41"</f>
        <v>41</v>
      </c>
      <c r="D922" t="s">
        <v>120</v>
      </c>
      <c r="E922" t="s">
        <v>116</v>
      </c>
      <c r="F922" t="s">
        <v>117</v>
      </c>
      <c r="H922" t="s">
        <v>295</v>
      </c>
      <c r="I922" t="str">
        <f>"101050002024187"</f>
        <v>101050002024187</v>
      </c>
      <c r="J922" t="str">
        <f t="shared" ref="J922:J928" si="185">"515122"</f>
        <v>515122</v>
      </c>
      <c r="K922" t="s">
        <v>4</v>
      </c>
      <c r="L922">
        <v>49</v>
      </c>
      <c r="M922">
        <v>49</v>
      </c>
      <c r="N922">
        <v>0</v>
      </c>
      <c r="O922" s="1">
        <v>45583.364004629628</v>
      </c>
      <c r="P922" t="s">
        <v>119</v>
      </c>
    </row>
    <row r="923" spans="1:16" x14ac:dyDescent="0.3">
      <c r="A923" t="s">
        <v>25</v>
      </c>
      <c r="B923" s="1">
        <v>45583.364004629628</v>
      </c>
      <c r="C923" t="str">
        <f t="shared" si="184"/>
        <v>41</v>
      </c>
      <c r="D923" t="s">
        <v>120</v>
      </c>
      <c r="E923" t="s">
        <v>116</v>
      </c>
      <c r="F923" t="s">
        <v>117</v>
      </c>
      <c r="H923" t="s">
        <v>295</v>
      </c>
      <c r="I923" t="str">
        <f>"101050002024159"</f>
        <v>101050002024159</v>
      </c>
      <c r="J923" t="str">
        <f t="shared" si="185"/>
        <v>515122</v>
      </c>
      <c r="K923" t="s">
        <v>4</v>
      </c>
      <c r="L923">
        <v>49</v>
      </c>
      <c r="M923">
        <v>49</v>
      </c>
      <c r="N923">
        <v>0</v>
      </c>
      <c r="O923" s="1">
        <v>45583.364004629628</v>
      </c>
      <c r="P923" t="s">
        <v>119</v>
      </c>
    </row>
    <row r="924" spans="1:16" x14ac:dyDescent="0.3">
      <c r="A924" t="s">
        <v>25</v>
      </c>
      <c r="B924" s="1">
        <v>45583.363993055558</v>
      </c>
      <c r="C924" t="str">
        <f t="shared" si="184"/>
        <v>41</v>
      </c>
      <c r="D924" t="s">
        <v>120</v>
      </c>
      <c r="E924" t="s">
        <v>116</v>
      </c>
      <c r="F924" t="s">
        <v>117</v>
      </c>
      <c r="H924" t="s">
        <v>295</v>
      </c>
      <c r="I924" t="str">
        <f>"101050002024157"</f>
        <v>101050002024157</v>
      </c>
      <c r="J924" t="str">
        <f t="shared" si="185"/>
        <v>515122</v>
      </c>
      <c r="K924" t="s">
        <v>4</v>
      </c>
      <c r="L924">
        <v>49</v>
      </c>
      <c r="M924">
        <v>49</v>
      </c>
      <c r="N924">
        <v>0</v>
      </c>
      <c r="O924" s="1">
        <v>45583.363993055558</v>
      </c>
      <c r="P924" t="s">
        <v>119</v>
      </c>
    </row>
    <row r="925" spans="1:16" x14ac:dyDescent="0.3">
      <c r="A925" t="s">
        <v>25</v>
      </c>
      <c r="B925" s="1">
        <v>45583.363993055558</v>
      </c>
      <c r="C925" t="str">
        <f t="shared" si="184"/>
        <v>41</v>
      </c>
      <c r="D925" t="s">
        <v>120</v>
      </c>
      <c r="E925" t="s">
        <v>116</v>
      </c>
      <c r="F925" t="s">
        <v>117</v>
      </c>
      <c r="H925" t="s">
        <v>295</v>
      </c>
      <c r="I925" t="str">
        <f>"101050002024189"</f>
        <v>101050002024189</v>
      </c>
      <c r="J925" t="str">
        <f t="shared" si="185"/>
        <v>515122</v>
      </c>
      <c r="K925" t="s">
        <v>4</v>
      </c>
      <c r="L925">
        <v>49</v>
      </c>
      <c r="M925">
        <v>49</v>
      </c>
      <c r="N925">
        <v>0</v>
      </c>
      <c r="O925" s="1">
        <v>45583.363993055558</v>
      </c>
      <c r="P925" t="s">
        <v>119</v>
      </c>
    </row>
    <row r="926" spans="1:16" x14ac:dyDescent="0.3">
      <c r="A926" t="s">
        <v>25</v>
      </c>
      <c r="B926" s="1">
        <v>45583.363993055558</v>
      </c>
      <c r="C926" t="str">
        <f t="shared" si="184"/>
        <v>41</v>
      </c>
      <c r="D926" t="s">
        <v>120</v>
      </c>
      <c r="E926" t="s">
        <v>116</v>
      </c>
      <c r="F926" t="s">
        <v>117</v>
      </c>
      <c r="H926" t="s">
        <v>295</v>
      </c>
      <c r="I926" t="str">
        <f>"101050002024158"</f>
        <v>101050002024158</v>
      </c>
      <c r="J926" t="str">
        <f t="shared" si="185"/>
        <v>515122</v>
      </c>
      <c r="K926" t="s">
        <v>4</v>
      </c>
      <c r="L926">
        <v>49</v>
      </c>
      <c r="M926">
        <v>49</v>
      </c>
      <c r="N926">
        <v>0</v>
      </c>
      <c r="O926" s="1">
        <v>45583.363993055558</v>
      </c>
      <c r="P926" t="s">
        <v>119</v>
      </c>
    </row>
    <row r="927" spans="1:16" x14ac:dyDescent="0.3">
      <c r="A927" t="s">
        <v>25</v>
      </c>
      <c r="B927" s="1">
        <v>45583.363993055558</v>
      </c>
      <c r="C927" t="str">
        <f t="shared" si="184"/>
        <v>41</v>
      </c>
      <c r="D927" t="s">
        <v>120</v>
      </c>
      <c r="E927" t="s">
        <v>116</v>
      </c>
      <c r="F927" t="s">
        <v>117</v>
      </c>
      <c r="H927" t="s">
        <v>295</v>
      </c>
      <c r="I927" t="str">
        <f>"101050002024003"</f>
        <v>101050002024003</v>
      </c>
      <c r="J927" t="str">
        <f t="shared" si="185"/>
        <v>515122</v>
      </c>
      <c r="K927" t="s">
        <v>4</v>
      </c>
      <c r="L927">
        <v>49</v>
      </c>
      <c r="M927">
        <v>49</v>
      </c>
      <c r="N927">
        <v>0</v>
      </c>
      <c r="O927" s="1">
        <v>45583.363993055558</v>
      </c>
      <c r="P927" t="s">
        <v>119</v>
      </c>
    </row>
    <row r="928" spans="1:16" x14ac:dyDescent="0.3">
      <c r="A928" t="s">
        <v>25</v>
      </c>
      <c r="B928" s="1">
        <v>45583.363993055558</v>
      </c>
      <c r="C928" t="str">
        <f t="shared" si="184"/>
        <v>41</v>
      </c>
      <c r="D928" t="s">
        <v>120</v>
      </c>
      <c r="E928" t="s">
        <v>116</v>
      </c>
      <c r="F928" t="s">
        <v>117</v>
      </c>
      <c r="H928" t="s">
        <v>295</v>
      </c>
      <c r="I928" t="str">
        <f>"101050002024004"</f>
        <v>101050002024004</v>
      </c>
      <c r="J928" t="str">
        <f t="shared" si="185"/>
        <v>515122</v>
      </c>
      <c r="K928" t="s">
        <v>4</v>
      </c>
      <c r="L928">
        <v>49</v>
      </c>
      <c r="M928">
        <v>49</v>
      </c>
      <c r="N928">
        <v>0</v>
      </c>
      <c r="O928" s="1">
        <v>45583.363993055558</v>
      </c>
      <c r="P928" t="s">
        <v>119</v>
      </c>
    </row>
    <row r="929" spans="1:16" x14ac:dyDescent="0.3">
      <c r="A929" t="s">
        <v>25</v>
      </c>
      <c r="B929" s="1">
        <v>45583.362222222226</v>
      </c>
      <c r="C929" t="str">
        <f>"38"</f>
        <v>38</v>
      </c>
      <c r="D929" t="s">
        <v>115</v>
      </c>
      <c r="E929" t="s">
        <v>116</v>
      </c>
      <c r="F929" t="s">
        <v>117</v>
      </c>
      <c r="H929" t="s">
        <v>296</v>
      </c>
      <c r="L929">
        <v>0</v>
      </c>
      <c r="M929">
        <v>0</v>
      </c>
      <c r="N929">
        <v>0</v>
      </c>
      <c r="O929" s="1">
        <v>45583.362222222226</v>
      </c>
      <c r="P929" t="s">
        <v>122</v>
      </c>
    </row>
    <row r="930" spans="1:16" x14ac:dyDescent="0.3">
      <c r="A930" t="s">
        <v>25</v>
      </c>
      <c r="B930" s="1">
        <v>45583.362222222226</v>
      </c>
      <c r="C930" t="str">
        <f t="shared" ref="C930:C936" si="186">"41"</f>
        <v>41</v>
      </c>
      <c r="D930" t="s">
        <v>120</v>
      </c>
      <c r="E930" t="s">
        <v>116</v>
      </c>
      <c r="F930" t="s">
        <v>117</v>
      </c>
      <c r="H930" t="s">
        <v>296</v>
      </c>
      <c r="I930" t="str">
        <f>"101050002024473"</f>
        <v>101050002024473</v>
      </c>
      <c r="J930" t="str">
        <f t="shared" ref="J930:J936" si="187">"515120"</f>
        <v>515120</v>
      </c>
      <c r="K930" t="s">
        <v>2</v>
      </c>
      <c r="L930">
        <v>49</v>
      </c>
      <c r="M930">
        <v>49</v>
      </c>
      <c r="N930">
        <v>0</v>
      </c>
      <c r="O930" s="1">
        <v>45583.362222222226</v>
      </c>
      <c r="P930" t="s">
        <v>122</v>
      </c>
    </row>
    <row r="931" spans="1:16" x14ac:dyDescent="0.3">
      <c r="A931" t="s">
        <v>25</v>
      </c>
      <c r="B931" s="1">
        <v>45583.362210648149</v>
      </c>
      <c r="C931" t="str">
        <f t="shared" si="186"/>
        <v>41</v>
      </c>
      <c r="D931" t="s">
        <v>120</v>
      </c>
      <c r="E931" t="s">
        <v>116</v>
      </c>
      <c r="F931" t="s">
        <v>117</v>
      </c>
      <c r="H931" t="s">
        <v>296</v>
      </c>
      <c r="I931" t="str">
        <f>"101050002024270"</f>
        <v>101050002024270</v>
      </c>
      <c r="J931" t="str">
        <f t="shared" si="187"/>
        <v>515120</v>
      </c>
      <c r="K931" t="s">
        <v>2</v>
      </c>
      <c r="L931">
        <v>49</v>
      </c>
      <c r="M931">
        <v>49</v>
      </c>
      <c r="N931">
        <v>0</v>
      </c>
      <c r="O931" s="1">
        <v>45583.362210648149</v>
      </c>
      <c r="P931" t="s">
        <v>122</v>
      </c>
    </row>
    <row r="932" spans="1:16" x14ac:dyDescent="0.3">
      <c r="A932" t="s">
        <v>25</v>
      </c>
      <c r="B932" s="1">
        <v>45583.362210648149</v>
      </c>
      <c r="C932" t="str">
        <f t="shared" si="186"/>
        <v>41</v>
      </c>
      <c r="D932" t="s">
        <v>120</v>
      </c>
      <c r="E932" t="s">
        <v>116</v>
      </c>
      <c r="F932" t="s">
        <v>117</v>
      </c>
      <c r="H932" t="s">
        <v>296</v>
      </c>
      <c r="I932" t="str">
        <f>"101050002024229"</f>
        <v>101050002024229</v>
      </c>
      <c r="J932" t="str">
        <f t="shared" si="187"/>
        <v>515120</v>
      </c>
      <c r="K932" t="s">
        <v>2</v>
      </c>
      <c r="L932">
        <v>49</v>
      </c>
      <c r="M932">
        <v>49</v>
      </c>
      <c r="N932">
        <v>0</v>
      </c>
      <c r="O932" s="1">
        <v>45583.362210648149</v>
      </c>
      <c r="P932" t="s">
        <v>122</v>
      </c>
    </row>
    <row r="933" spans="1:16" x14ac:dyDescent="0.3">
      <c r="A933" t="s">
        <v>25</v>
      </c>
      <c r="B933" s="1">
        <v>45583.362210648149</v>
      </c>
      <c r="C933" t="str">
        <f t="shared" si="186"/>
        <v>41</v>
      </c>
      <c r="D933" t="s">
        <v>120</v>
      </c>
      <c r="E933" t="s">
        <v>116</v>
      </c>
      <c r="F933" t="s">
        <v>117</v>
      </c>
      <c r="H933" t="s">
        <v>296</v>
      </c>
      <c r="I933" t="str">
        <f>"101050002024227"</f>
        <v>101050002024227</v>
      </c>
      <c r="J933" t="str">
        <f t="shared" si="187"/>
        <v>515120</v>
      </c>
      <c r="K933" t="s">
        <v>2</v>
      </c>
      <c r="L933">
        <v>49</v>
      </c>
      <c r="M933">
        <v>49</v>
      </c>
      <c r="N933">
        <v>0</v>
      </c>
      <c r="O933" s="1">
        <v>45583.362210648149</v>
      </c>
      <c r="P933" t="s">
        <v>122</v>
      </c>
    </row>
    <row r="934" spans="1:16" x14ac:dyDescent="0.3">
      <c r="A934" t="s">
        <v>25</v>
      </c>
      <c r="B934" s="1">
        <v>45583.362210648149</v>
      </c>
      <c r="C934" t="str">
        <f t="shared" si="186"/>
        <v>41</v>
      </c>
      <c r="D934" t="s">
        <v>120</v>
      </c>
      <c r="E934" t="s">
        <v>116</v>
      </c>
      <c r="F934" t="s">
        <v>117</v>
      </c>
      <c r="H934" t="s">
        <v>296</v>
      </c>
      <c r="I934" t="str">
        <f>"101050002024209"</f>
        <v>101050002024209</v>
      </c>
      <c r="J934" t="str">
        <f t="shared" si="187"/>
        <v>515120</v>
      </c>
      <c r="K934" t="s">
        <v>2</v>
      </c>
      <c r="L934">
        <v>49</v>
      </c>
      <c r="M934">
        <v>49</v>
      </c>
      <c r="N934">
        <v>0</v>
      </c>
      <c r="O934" s="1">
        <v>45583.362210648149</v>
      </c>
      <c r="P934" t="s">
        <v>122</v>
      </c>
    </row>
    <row r="935" spans="1:16" x14ac:dyDescent="0.3">
      <c r="A935" t="s">
        <v>25</v>
      </c>
      <c r="B935" s="1">
        <v>45583.362210648149</v>
      </c>
      <c r="C935" t="str">
        <f t="shared" si="186"/>
        <v>41</v>
      </c>
      <c r="D935" t="s">
        <v>120</v>
      </c>
      <c r="E935" t="s">
        <v>116</v>
      </c>
      <c r="F935" t="s">
        <v>117</v>
      </c>
      <c r="H935" t="s">
        <v>296</v>
      </c>
      <c r="I935" t="str">
        <f>"101050002024207"</f>
        <v>101050002024207</v>
      </c>
      <c r="J935" t="str">
        <f t="shared" si="187"/>
        <v>515120</v>
      </c>
      <c r="K935" t="s">
        <v>2</v>
      </c>
      <c r="L935">
        <v>49</v>
      </c>
      <c r="M935">
        <v>49</v>
      </c>
      <c r="N935">
        <v>0</v>
      </c>
      <c r="O935" s="1">
        <v>45583.362210648149</v>
      </c>
      <c r="P935" t="s">
        <v>122</v>
      </c>
    </row>
    <row r="936" spans="1:16" x14ac:dyDescent="0.3">
      <c r="A936" t="s">
        <v>25</v>
      </c>
      <c r="B936" s="1">
        <v>45583.362210648149</v>
      </c>
      <c r="C936" t="str">
        <f t="shared" si="186"/>
        <v>41</v>
      </c>
      <c r="D936" t="s">
        <v>120</v>
      </c>
      <c r="E936" t="s">
        <v>116</v>
      </c>
      <c r="F936" t="s">
        <v>117</v>
      </c>
      <c r="H936" t="s">
        <v>296</v>
      </c>
      <c r="I936" t="str">
        <f>"101050002024205"</f>
        <v>101050002024205</v>
      </c>
      <c r="J936" t="str">
        <f t="shared" si="187"/>
        <v>515120</v>
      </c>
      <c r="K936" t="s">
        <v>2</v>
      </c>
      <c r="L936">
        <v>49</v>
      </c>
      <c r="M936">
        <v>49</v>
      </c>
      <c r="N936">
        <v>0</v>
      </c>
      <c r="O936" s="1">
        <v>45583.362210648149</v>
      </c>
      <c r="P936" t="s">
        <v>122</v>
      </c>
    </row>
    <row r="937" spans="1:16" x14ac:dyDescent="0.3">
      <c r="A937" t="s">
        <v>25</v>
      </c>
      <c r="B937" s="1">
        <v>45583.362164351849</v>
      </c>
      <c r="C937" t="str">
        <f>"38"</f>
        <v>38</v>
      </c>
      <c r="D937" t="s">
        <v>115</v>
      </c>
      <c r="E937" t="s">
        <v>116</v>
      </c>
      <c r="F937" t="s">
        <v>117</v>
      </c>
      <c r="H937" t="s">
        <v>297</v>
      </c>
      <c r="L937">
        <v>0</v>
      </c>
      <c r="M937">
        <v>0</v>
      </c>
      <c r="N937">
        <v>0</v>
      </c>
      <c r="O937" s="1">
        <v>45583.362164351849</v>
      </c>
      <c r="P937" t="s">
        <v>119</v>
      </c>
    </row>
    <row r="938" spans="1:16" x14ac:dyDescent="0.3">
      <c r="A938" t="s">
        <v>25</v>
      </c>
      <c r="B938" s="1">
        <v>45583.362164351849</v>
      </c>
      <c r="C938" t="str">
        <f t="shared" ref="C938:C944" si="188">"41"</f>
        <v>41</v>
      </c>
      <c r="D938" t="s">
        <v>120</v>
      </c>
      <c r="E938" t="s">
        <v>116</v>
      </c>
      <c r="F938" t="s">
        <v>117</v>
      </c>
      <c r="H938" t="s">
        <v>297</v>
      </c>
      <c r="I938" t="str">
        <f>"101050002026391"</f>
        <v>101050002026391</v>
      </c>
      <c r="J938" t="str">
        <f t="shared" ref="J938:J944" si="189">"127802"</f>
        <v>127802</v>
      </c>
      <c r="K938" t="s">
        <v>6</v>
      </c>
      <c r="L938">
        <v>91</v>
      </c>
      <c r="M938">
        <v>91</v>
      </c>
      <c r="N938">
        <v>0</v>
      </c>
      <c r="O938" s="1">
        <v>45583.362164351849</v>
      </c>
      <c r="P938" t="s">
        <v>119</v>
      </c>
    </row>
    <row r="939" spans="1:16" x14ac:dyDescent="0.3">
      <c r="A939" t="s">
        <v>25</v>
      </c>
      <c r="B939" s="1">
        <v>45583.362164351849</v>
      </c>
      <c r="C939" t="str">
        <f t="shared" si="188"/>
        <v>41</v>
      </c>
      <c r="D939" t="s">
        <v>120</v>
      </c>
      <c r="E939" t="s">
        <v>116</v>
      </c>
      <c r="F939" t="s">
        <v>117</v>
      </c>
      <c r="H939" t="s">
        <v>297</v>
      </c>
      <c r="I939" t="str">
        <f>"101050002026562"</f>
        <v>101050002026562</v>
      </c>
      <c r="J939" t="str">
        <f t="shared" si="189"/>
        <v>127802</v>
      </c>
      <c r="K939" t="s">
        <v>6</v>
      </c>
      <c r="L939">
        <v>91</v>
      </c>
      <c r="M939">
        <v>91</v>
      </c>
      <c r="N939">
        <v>0</v>
      </c>
      <c r="O939" s="1">
        <v>45583.362164351849</v>
      </c>
      <c r="P939" t="s">
        <v>119</v>
      </c>
    </row>
    <row r="940" spans="1:16" x14ac:dyDescent="0.3">
      <c r="A940" t="s">
        <v>25</v>
      </c>
      <c r="B940" s="1">
        <v>45583.362164351849</v>
      </c>
      <c r="C940" t="str">
        <f t="shared" si="188"/>
        <v>41</v>
      </c>
      <c r="D940" t="s">
        <v>120</v>
      </c>
      <c r="E940" t="s">
        <v>116</v>
      </c>
      <c r="F940" t="s">
        <v>117</v>
      </c>
      <c r="H940" t="s">
        <v>297</v>
      </c>
      <c r="I940" t="str">
        <f>"101050002026393"</f>
        <v>101050002026393</v>
      </c>
      <c r="J940" t="str">
        <f t="shared" si="189"/>
        <v>127802</v>
      </c>
      <c r="K940" t="s">
        <v>6</v>
      </c>
      <c r="L940">
        <v>91</v>
      </c>
      <c r="M940">
        <v>91</v>
      </c>
      <c r="N940">
        <v>0</v>
      </c>
      <c r="O940" s="1">
        <v>45583.362164351849</v>
      </c>
      <c r="P940" t="s">
        <v>119</v>
      </c>
    </row>
    <row r="941" spans="1:16" x14ac:dyDescent="0.3">
      <c r="A941" t="s">
        <v>25</v>
      </c>
      <c r="B941" s="1">
        <v>45583.36215277778</v>
      </c>
      <c r="C941" t="str">
        <f t="shared" si="188"/>
        <v>41</v>
      </c>
      <c r="D941" t="s">
        <v>120</v>
      </c>
      <c r="E941" t="s">
        <v>116</v>
      </c>
      <c r="F941" t="s">
        <v>117</v>
      </c>
      <c r="H941" t="s">
        <v>297</v>
      </c>
      <c r="I941" t="str">
        <f>"101050002025575"</f>
        <v>101050002025575</v>
      </c>
      <c r="J941" t="str">
        <f t="shared" si="189"/>
        <v>127802</v>
      </c>
      <c r="K941" t="s">
        <v>6</v>
      </c>
      <c r="L941">
        <v>91</v>
      </c>
      <c r="M941">
        <v>91</v>
      </c>
      <c r="N941">
        <v>0</v>
      </c>
      <c r="O941" s="1">
        <v>45583.36215277778</v>
      </c>
      <c r="P941" t="s">
        <v>119</v>
      </c>
    </row>
    <row r="942" spans="1:16" x14ac:dyDescent="0.3">
      <c r="A942" t="s">
        <v>25</v>
      </c>
      <c r="B942" s="1">
        <v>45583.36215277778</v>
      </c>
      <c r="C942" t="str">
        <f t="shared" si="188"/>
        <v>41</v>
      </c>
      <c r="D942" t="s">
        <v>120</v>
      </c>
      <c r="E942" t="s">
        <v>116</v>
      </c>
      <c r="F942" t="s">
        <v>117</v>
      </c>
      <c r="H942" t="s">
        <v>297</v>
      </c>
      <c r="I942" t="str">
        <f>"101050002026401"</f>
        <v>101050002026401</v>
      </c>
      <c r="J942" t="str">
        <f t="shared" si="189"/>
        <v>127802</v>
      </c>
      <c r="K942" t="s">
        <v>6</v>
      </c>
      <c r="L942">
        <v>91</v>
      </c>
      <c r="M942">
        <v>91</v>
      </c>
      <c r="N942">
        <v>0</v>
      </c>
      <c r="O942" s="1">
        <v>45583.36215277778</v>
      </c>
      <c r="P942" t="s">
        <v>119</v>
      </c>
    </row>
    <row r="943" spans="1:16" x14ac:dyDescent="0.3">
      <c r="A943" t="s">
        <v>25</v>
      </c>
      <c r="B943" s="1">
        <v>45583.36215277778</v>
      </c>
      <c r="C943" t="str">
        <f t="shared" si="188"/>
        <v>41</v>
      </c>
      <c r="D943" t="s">
        <v>120</v>
      </c>
      <c r="E943" t="s">
        <v>116</v>
      </c>
      <c r="F943" t="s">
        <v>117</v>
      </c>
      <c r="H943" t="s">
        <v>297</v>
      </c>
      <c r="I943" t="str">
        <f>"101050002017625"</f>
        <v>101050002017625</v>
      </c>
      <c r="J943" t="str">
        <f t="shared" si="189"/>
        <v>127802</v>
      </c>
      <c r="K943" t="s">
        <v>6</v>
      </c>
      <c r="L943">
        <v>91</v>
      </c>
      <c r="M943">
        <v>91</v>
      </c>
      <c r="N943">
        <v>0</v>
      </c>
      <c r="O943" s="1">
        <v>45583.36215277778</v>
      </c>
      <c r="P943" t="s">
        <v>119</v>
      </c>
    </row>
    <row r="944" spans="1:16" x14ac:dyDescent="0.3">
      <c r="A944" t="s">
        <v>25</v>
      </c>
      <c r="B944" s="1">
        <v>45583.36215277778</v>
      </c>
      <c r="C944" t="str">
        <f t="shared" si="188"/>
        <v>41</v>
      </c>
      <c r="D944" t="s">
        <v>120</v>
      </c>
      <c r="E944" t="s">
        <v>116</v>
      </c>
      <c r="F944" t="s">
        <v>117</v>
      </c>
      <c r="H944" t="s">
        <v>297</v>
      </c>
      <c r="I944" t="str">
        <f>"101050002017145"</f>
        <v>101050002017145</v>
      </c>
      <c r="J944" t="str">
        <f t="shared" si="189"/>
        <v>127802</v>
      </c>
      <c r="K944" t="s">
        <v>6</v>
      </c>
      <c r="L944">
        <v>91</v>
      </c>
      <c r="M944">
        <v>91</v>
      </c>
      <c r="N944">
        <v>0</v>
      </c>
      <c r="O944" s="1">
        <v>45583.36215277778</v>
      </c>
      <c r="P944" t="s">
        <v>119</v>
      </c>
    </row>
    <row r="945" spans="1:16" x14ac:dyDescent="0.3">
      <c r="A945" t="s">
        <v>25</v>
      </c>
      <c r="B945" s="1">
        <v>45583.360775462963</v>
      </c>
      <c r="C945" t="str">
        <f>"38"</f>
        <v>38</v>
      </c>
      <c r="D945" t="s">
        <v>115</v>
      </c>
      <c r="E945" t="s">
        <v>116</v>
      </c>
      <c r="F945" t="s">
        <v>117</v>
      </c>
      <c r="H945" t="s">
        <v>298</v>
      </c>
      <c r="L945">
        <v>0</v>
      </c>
      <c r="M945">
        <v>0</v>
      </c>
      <c r="N945">
        <v>0</v>
      </c>
      <c r="O945" s="1">
        <v>45583.360775462963</v>
      </c>
      <c r="P945" t="s">
        <v>122</v>
      </c>
    </row>
    <row r="946" spans="1:16" x14ac:dyDescent="0.3">
      <c r="A946" t="s">
        <v>25</v>
      </c>
      <c r="B946" s="1">
        <v>45583.360775462963</v>
      </c>
      <c r="C946" t="str">
        <f t="shared" ref="C946:C952" si="190">"41"</f>
        <v>41</v>
      </c>
      <c r="D946" t="s">
        <v>120</v>
      </c>
      <c r="E946" t="s">
        <v>116</v>
      </c>
      <c r="F946" t="s">
        <v>117</v>
      </c>
      <c r="H946" t="s">
        <v>298</v>
      </c>
      <c r="I946" t="str">
        <f>"101050002017429"</f>
        <v>101050002017429</v>
      </c>
      <c r="J946" t="str">
        <f t="shared" ref="J946:J952" si="191">"515123"</f>
        <v>515123</v>
      </c>
      <c r="K946" t="s">
        <v>19</v>
      </c>
      <c r="L946">
        <v>49</v>
      </c>
      <c r="M946">
        <v>49</v>
      </c>
      <c r="N946">
        <v>0</v>
      </c>
      <c r="O946" s="1">
        <v>45583.360775462963</v>
      </c>
      <c r="P946" t="s">
        <v>122</v>
      </c>
    </row>
    <row r="947" spans="1:16" x14ac:dyDescent="0.3">
      <c r="A947" t="s">
        <v>25</v>
      </c>
      <c r="B947" s="1">
        <v>45583.360763888886</v>
      </c>
      <c r="C947" t="str">
        <f t="shared" si="190"/>
        <v>41</v>
      </c>
      <c r="D947" t="s">
        <v>120</v>
      </c>
      <c r="E947" t="s">
        <v>116</v>
      </c>
      <c r="F947" t="s">
        <v>117</v>
      </c>
      <c r="H947" t="s">
        <v>298</v>
      </c>
      <c r="I947" t="str">
        <f>"101050002017289"</f>
        <v>101050002017289</v>
      </c>
      <c r="J947" t="str">
        <f t="shared" si="191"/>
        <v>515123</v>
      </c>
      <c r="K947" t="s">
        <v>19</v>
      </c>
      <c r="L947">
        <v>49</v>
      </c>
      <c r="M947">
        <v>49</v>
      </c>
      <c r="N947">
        <v>0</v>
      </c>
      <c r="O947" s="1">
        <v>45583.360763888886</v>
      </c>
      <c r="P947" t="s">
        <v>122</v>
      </c>
    </row>
    <row r="948" spans="1:16" x14ac:dyDescent="0.3">
      <c r="A948" t="s">
        <v>25</v>
      </c>
      <c r="B948" s="1">
        <v>45583.360763888886</v>
      </c>
      <c r="C948" t="str">
        <f t="shared" si="190"/>
        <v>41</v>
      </c>
      <c r="D948" t="s">
        <v>120</v>
      </c>
      <c r="E948" t="s">
        <v>116</v>
      </c>
      <c r="F948" t="s">
        <v>117</v>
      </c>
      <c r="H948" t="s">
        <v>298</v>
      </c>
      <c r="I948" t="str">
        <f>"101050002017183"</f>
        <v>101050002017183</v>
      </c>
      <c r="J948" t="str">
        <f t="shared" si="191"/>
        <v>515123</v>
      </c>
      <c r="K948" t="s">
        <v>19</v>
      </c>
      <c r="L948">
        <v>49</v>
      </c>
      <c r="M948">
        <v>49</v>
      </c>
      <c r="N948">
        <v>0</v>
      </c>
      <c r="O948" s="1">
        <v>45583.360763888886</v>
      </c>
      <c r="P948" t="s">
        <v>122</v>
      </c>
    </row>
    <row r="949" spans="1:16" x14ac:dyDescent="0.3">
      <c r="A949" t="s">
        <v>25</v>
      </c>
      <c r="B949" s="1">
        <v>45583.360763888886</v>
      </c>
      <c r="C949" t="str">
        <f t="shared" si="190"/>
        <v>41</v>
      </c>
      <c r="D949" t="s">
        <v>120</v>
      </c>
      <c r="E949" t="s">
        <v>116</v>
      </c>
      <c r="F949" t="s">
        <v>117</v>
      </c>
      <c r="H949" t="s">
        <v>298</v>
      </c>
      <c r="I949" t="str">
        <f>"101050002016992"</f>
        <v>101050002016992</v>
      </c>
      <c r="J949" t="str">
        <f t="shared" si="191"/>
        <v>515123</v>
      </c>
      <c r="K949" t="s">
        <v>19</v>
      </c>
      <c r="L949">
        <v>49</v>
      </c>
      <c r="M949">
        <v>49</v>
      </c>
      <c r="N949">
        <v>0</v>
      </c>
      <c r="O949" s="1">
        <v>45583.360763888886</v>
      </c>
      <c r="P949" t="s">
        <v>122</v>
      </c>
    </row>
    <row r="950" spans="1:16" x14ac:dyDescent="0.3">
      <c r="A950" t="s">
        <v>25</v>
      </c>
      <c r="B950" s="1">
        <v>45583.360763888886</v>
      </c>
      <c r="C950" t="str">
        <f t="shared" si="190"/>
        <v>41</v>
      </c>
      <c r="D950" t="s">
        <v>120</v>
      </c>
      <c r="E950" t="s">
        <v>116</v>
      </c>
      <c r="F950" t="s">
        <v>117</v>
      </c>
      <c r="H950" t="s">
        <v>298</v>
      </c>
      <c r="I950" t="str">
        <f>"101050002016885"</f>
        <v>101050002016885</v>
      </c>
      <c r="J950" t="str">
        <f t="shared" si="191"/>
        <v>515123</v>
      </c>
      <c r="K950" t="s">
        <v>19</v>
      </c>
      <c r="L950">
        <v>49</v>
      </c>
      <c r="M950">
        <v>49</v>
      </c>
      <c r="N950">
        <v>0</v>
      </c>
      <c r="O950" s="1">
        <v>45583.360763888886</v>
      </c>
      <c r="P950" t="s">
        <v>122</v>
      </c>
    </row>
    <row r="951" spans="1:16" x14ac:dyDescent="0.3">
      <c r="A951" t="s">
        <v>25</v>
      </c>
      <c r="B951" s="1">
        <v>45583.360763888886</v>
      </c>
      <c r="C951" t="str">
        <f t="shared" si="190"/>
        <v>41</v>
      </c>
      <c r="D951" t="s">
        <v>120</v>
      </c>
      <c r="E951" t="s">
        <v>116</v>
      </c>
      <c r="F951" t="s">
        <v>117</v>
      </c>
      <c r="H951" t="s">
        <v>298</v>
      </c>
      <c r="I951" t="str">
        <f>"101050002016886"</f>
        <v>101050002016886</v>
      </c>
      <c r="J951" t="str">
        <f t="shared" si="191"/>
        <v>515123</v>
      </c>
      <c r="K951" t="s">
        <v>19</v>
      </c>
      <c r="L951">
        <v>49</v>
      </c>
      <c r="M951">
        <v>49</v>
      </c>
      <c r="N951">
        <v>0</v>
      </c>
      <c r="O951" s="1">
        <v>45583.360763888886</v>
      </c>
      <c r="P951" t="s">
        <v>122</v>
      </c>
    </row>
    <row r="952" spans="1:16" x14ac:dyDescent="0.3">
      <c r="A952" t="s">
        <v>25</v>
      </c>
      <c r="B952" s="1">
        <v>45583.360752314817</v>
      </c>
      <c r="C952" t="str">
        <f t="shared" si="190"/>
        <v>41</v>
      </c>
      <c r="D952" t="s">
        <v>120</v>
      </c>
      <c r="E952" t="s">
        <v>116</v>
      </c>
      <c r="F952" t="s">
        <v>117</v>
      </c>
      <c r="H952" t="s">
        <v>298</v>
      </c>
      <c r="I952" t="str">
        <f>"101050002016883"</f>
        <v>101050002016883</v>
      </c>
      <c r="J952" t="str">
        <f t="shared" si="191"/>
        <v>515123</v>
      </c>
      <c r="K952" t="s">
        <v>19</v>
      </c>
      <c r="L952">
        <v>49</v>
      </c>
      <c r="M952">
        <v>49</v>
      </c>
      <c r="N952">
        <v>0</v>
      </c>
      <c r="O952" s="1">
        <v>45583.360752314817</v>
      </c>
      <c r="P952" t="s">
        <v>122</v>
      </c>
    </row>
    <row r="953" spans="1:16" x14ac:dyDescent="0.3">
      <c r="A953" t="s">
        <v>25</v>
      </c>
      <c r="B953" s="1">
        <v>45583.367303240739</v>
      </c>
      <c r="C953" t="str">
        <f>"38"</f>
        <v>38</v>
      </c>
      <c r="D953" t="s">
        <v>115</v>
      </c>
      <c r="E953" t="s">
        <v>116</v>
      </c>
      <c r="F953" t="s">
        <v>117</v>
      </c>
      <c r="H953" t="s">
        <v>299</v>
      </c>
      <c r="L953">
        <v>0</v>
      </c>
      <c r="M953">
        <v>0</v>
      </c>
      <c r="N953">
        <v>0</v>
      </c>
      <c r="O953" s="1">
        <v>45583.367303240739</v>
      </c>
      <c r="P953" t="s">
        <v>125</v>
      </c>
    </row>
    <row r="954" spans="1:16" x14ac:dyDescent="0.3">
      <c r="A954" t="s">
        <v>25</v>
      </c>
      <c r="B954" s="1">
        <v>45583.367303240739</v>
      </c>
      <c r="C954" t="str">
        <f t="shared" ref="C954:C960" si="192">"41"</f>
        <v>41</v>
      </c>
      <c r="D954" t="s">
        <v>120</v>
      </c>
      <c r="E954" t="s">
        <v>116</v>
      </c>
      <c r="F954" t="s">
        <v>117</v>
      </c>
      <c r="H954" t="s">
        <v>299</v>
      </c>
      <c r="I954" t="str">
        <f>"101050002021800"</f>
        <v>101050002021800</v>
      </c>
      <c r="J954" t="str">
        <f t="shared" ref="J954:J960" si="193">"127577"</f>
        <v>127577</v>
      </c>
      <c r="K954" t="s">
        <v>62</v>
      </c>
      <c r="L954">
        <v>91</v>
      </c>
      <c r="M954">
        <v>91</v>
      </c>
      <c r="N954">
        <v>0</v>
      </c>
      <c r="O954" s="1">
        <v>45583.367303240739</v>
      </c>
      <c r="P954" t="s">
        <v>125</v>
      </c>
    </row>
    <row r="955" spans="1:16" x14ac:dyDescent="0.3">
      <c r="A955" t="s">
        <v>25</v>
      </c>
      <c r="B955" s="1">
        <v>45583.367303240739</v>
      </c>
      <c r="C955" t="str">
        <f t="shared" si="192"/>
        <v>41</v>
      </c>
      <c r="D955" t="s">
        <v>120</v>
      </c>
      <c r="E955" t="s">
        <v>116</v>
      </c>
      <c r="F955" t="s">
        <v>117</v>
      </c>
      <c r="H955" t="s">
        <v>299</v>
      </c>
      <c r="I955" t="str">
        <f>"101050002021617"</f>
        <v>101050002021617</v>
      </c>
      <c r="J955" t="str">
        <f t="shared" si="193"/>
        <v>127577</v>
      </c>
      <c r="K955" t="s">
        <v>62</v>
      </c>
      <c r="L955">
        <v>91</v>
      </c>
      <c r="M955">
        <v>91</v>
      </c>
      <c r="N955">
        <v>0</v>
      </c>
      <c r="O955" s="1">
        <v>45583.367303240739</v>
      </c>
      <c r="P955" t="s">
        <v>125</v>
      </c>
    </row>
    <row r="956" spans="1:16" x14ac:dyDescent="0.3">
      <c r="A956" t="s">
        <v>25</v>
      </c>
      <c r="B956" s="1">
        <v>45583.367291666669</v>
      </c>
      <c r="C956" t="str">
        <f t="shared" si="192"/>
        <v>41</v>
      </c>
      <c r="D956" t="s">
        <v>120</v>
      </c>
      <c r="E956" t="s">
        <v>116</v>
      </c>
      <c r="F956" t="s">
        <v>117</v>
      </c>
      <c r="H956" t="s">
        <v>299</v>
      </c>
      <c r="I956" t="str">
        <f>"101050002021618"</f>
        <v>101050002021618</v>
      </c>
      <c r="J956" t="str">
        <f t="shared" si="193"/>
        <v>127577</v>
      </c>
      <c r="K956" t="s">
        <v>62</v>
      </c>
      <c r="L956">
        <v>91</v>
      </c>
      <c r="M956">
        <v>91</v>
      </c>
      <c r="N956">
        <v>0</v>
      </c>
      <c r="O956" s="1">
        <v>45583.367291666669</v>
      </c>
      <c r="P956" t="s">
        <v>125</v>
      </c>
    </row>
    <row r="957" spans="1:16" x14ac:dyDescent="0.3">
      <c r="A957" t="s">
        <v>25</v>
      </c>
      <c r="B957" s="1">
        <v>45583.367291666669</v>
      </c>
      <c r="C957" t="str">
        <f t="shared" si="192"/>
        <v>41</v>
      </c>
      <c r="D957" t="s">
        <v>120</v>
      </c>
      <c r="E957" t="s">
        <v>116</v>
      </c>
      <c r="F957" t="s">
        <v>117</v>
      </c>
      <c r="H957" t="s">
        <v>299</v>
      </c>
      <c r="I957" t="str">
        <f>"101050002016300"</f>
        <v>101050002016300</v>
      </c>
      <c r="J957" t="str">
        <f t="shared" si="193"/>
        <v>127577</v>
      </c>
      <c r="K957" t="s">
        <v>62</v>
      </c>
      <c r="L957">
        <v>91</v>
      </c>
      <c r="M957">
        <v>91</v>
      </c>
      <c r="N957">
        <v>0</v>
      </c>
      <c r="O957" s="1">
        <v>45583.367291666669</v>
      </c>
      <c r="P957" t="s">
        <v>125</v>
      </c>
    </row>
    <row r="958" spans="1:16" x14ac:dyDescent="0.3">
      <c r="A958" t="s">
        <v>25</v>
      </c>
      <c r="B958" s="1">
        <v>45583.367291666669</v>
      </c>
      <c r="C958" t="str">
        <f t="shared" si="192"/>
        <v>41</v>
      </c>
      <c r="D958" t="s">
        <v>120</v>
      </c>
      <c r="E958" t="s">
        <v>116</v>
      </c>
      <c r="F958" t="s">
        <v>117</v>
      </c>
      <c r="H958" t="s">
        <v>299</v>
      </c>
      <c r="I958" t="str">
        <f>"101050002016347"</f>
        <v>101050002016347</v>
      </c>
      <c r="J958" t="str">
        <f t="shared" si="193"/>
        <v>127577</v>
      </c>
      <c r="K958" t="s">
        <v>62</v>
      </c>
      <c r="L958">
        <v>91</v>
      </c>
      <c r="M958">
        <v>91</v>
      </c>
      <c r="N958">
        <v>0</v>
      </c>
      <c r="O958" s="1">
        <v>45583.367291666669</v>
      </c>
      <c r="P958" t="s">
        <v>125</v>
      </c>
    </row>
    <row r="959" spans="1:16" x14ac:dyDescent="0.3">
      <c r="A959" t="s">
        <v>25</v>
      </c>
      <c r="B959" s="1">
        <v>45583.367291666669</v>
      </c>
      <c r="C959" t="str">
        <f t="shared" si="192"/>
        <v>41</v>
      </c>
      <c r="D959" t="s">
        <v>120</v>
      </c>
      <c r="E959" t="s">
        <v>116</v>
      </c>
      <c r="F959" t="s">
        <v>117</v>
      </c>
      <c r="H959" t="s">
        <v>299</v>
      </c>
      <c r="I959" t="str">
        <f>"101050002015978"</f>
        <v>101050002015978</v>
      </c>
      <c r="J959" t="str">
        <f t="shared" si="193"/>
        <v>127577</v>
      </c>
      <c r="K959" t="s">
        <v>62</v>
      </c>
      <c r="L959">
        <v>91</v>
      </c>
      <c r="M959">
        <v>91</v>
      </c>
      <c r="N959">
        <v>0</v>
      </c>
      <c r="O959" s="1">
        <v>45583.367291666669</v>
      </c>
      <c r="P959" t="s">
        <v>125</v>
      </c>
    </row>
    <row r="960" spans="1:16" x14ac:dyDescent="0.3">
      <c r="A960" t="s">
        <v>25</v>
      </c>
      <c r="B960" s="1">
        <v>45583.367291666669</v>
      </c>
      <c r="C960" t="str">
        <f t="shared" si="192"/>
        <v>41</v>
      </c>
      <c r="D960" t="s">
        <v>120</v>
      </c>
      <c r="E960" t="s">
        <v>116</v>
      </c>
      <c r="F960" t="s">
        <v>117</v>
      </c>
      <c r="H960" t="s">
        <v>299</v>
      </c>
      <c r="I960" t="str">
        <f>"101050002016025"</f>
        <v>101050002016025</v>
      </c>
      <c r="J960" t="str">
        <f t="shared" si="193"/>
        <v>127577</v>
      </c>
      <c r="K960" t="s">
        <v>62</v>
      </c>
      <c r="L960">
        <v>91</v>
      </c>
      <c r="M960">
        <v>91</v>
      </c>
      <c r="N960">
        <v>0</v>
      </c>
      <c r="O960" s="1">
        <v>45583.367291666669</v>
      </c>
      <c r="P960" t="s">
        <v>125</v>
      </c>
    </row>
    <row r="961" spans="1:16" x14ac:dyDescent="0.3">
      <c r="A961" t="s">
        <v>25</v>
      </c>
      <c r="B961" s="1">
        <v>45583.366053240738</v>
      </c>
      <c r="C961" t="str">
        <f>"38"</f>
        <v>38</v>
      </c>
      <c r="D961" t="s">
        <v>115</v>
      </c>
      <c r="E961" t="s">
        <v>116</v>
      </c>
      <c r="F961" t="s">
        <v>117</v>
      </c>
      <c r="H961" t="s">
        <v>300</v>
      </c>
      <c r="L961">
        <v>0</v>
      </c>
      <c r="M961">
        <v>0</v>
      </c>
      <c r="N961">
        <v>0</v>
      </c>
      <c r="O961" s="1">
        <v>45583.366053240738</v>
      </c>
      <c r="P961" t="s">
        <v>125</v>
      </c>
    </row>
    <row r="962" spans="1:16" x14ac:dyDescent="0.3">
      <c r="A962" t="s">
        <v>25</v>
      </c>
      <c r="B962" s="1">
        <v>45583.366053240738</v>
      </c>
      <c r="C962" t="str">
        <f t="shared" ref="C962:C968" si="194">"41"</f>
        <v>41</v>
      </c>
      <c r="D962" t="s">
        <v>120</v>
      </c>
      <c r="E962" t="s">
        <v>116</v>
      </c>
      <c r="F962" t="s">
        <v>117</v>
      </c>
      <c r="H962" t="s">
        <v>300</v>
      </c>
      <c r="I962" t="str">
        <f>"101050002025586"</f>
        <v>101050002025586</v>
      </c>
      <c r="J962" t="str">
        <f t="shared" ref="J962:J968" si="195">"515120"</f>
        <v>515120</v>
      </c>
      <c r="K962" t="s">
        <v>2</v>
      </c>
      <c r="L962">
        <v>49</v>
      </c>
      <c r="M962">
        <v>49</v>
      </c>
      <c r="N962">
        <v>0</v>
      </c>
      <c r="O962" s="1">
        <v>45583.366053240738</v>
      </c>
      <c r="P962" t="s">
        <v>125</v>
      </c>
    </row>
    <row r="963" spans="1:16" x14ac:dyDescent="0.3">
      <c r="A963" t="s">
        <v>25</v>
      </c>
      <c r="B963" s="1">
        <v>45583.366053240738</v>
      </c>
      <c r="C963" t="str">
        <f t="shared" si="194"/>
        <v>41</v>
      </c>
      <c r="D963" t="s">
        <v>120</v>
      </c>
      <c r="E963" t="s">
        <v>116</v>
      </c>
      <c r="F963" t="s">
        <v>117</v>
      </c>
      <c r="H963" t="s">
        <v>300</v>
      </c>
      <c r="I963" t="str">
        <f>"101050002022965"</f>
        <v>101050002022965</v>
      </c>
      <c r="J963" t="str">
        <f t="shared" si="195"/>
        <v>515120</v>
      </c>
      <c r="K963" t="s">
        <v>2</v>
      </c>
      <c r="L963">
        <v>49</v>
      </c>
      <c r="M963">
        <v>49</v>
      </c>
      <c r="N963">
        <v>0</v>
      </c>
      <c r="O963" s="1">
        <v>45583.366053240738</v>
      </c>
      <c r="P963" t="s">
        <v>125</v>
      </c>
    </row>
    <row r="964" spans="1:16" x14ac:dyDescent="0.3">
      <c r="A964" t="s">
        <v>25</v>
      </c>
      <c r="B964" s="1">
        <v>45583.366053240738</v>
      </c>
      <c r="C964" t="str">
        <f t="shared" si="194"/>
        <v>41</v>
      </c>
      <c r="D964" t="s">
        <v>120</v>
      </c>
      <c r="E964" t="s">
        <v>116</v>
      </c>
      <c r="F964" t="s">
        <v>117</v>
      </c>
      <c r="H964" t="s">
        <v>300</v>
      </c>
      <c r="I964" t="str">
        <f>"101050002022842"</f>
        <v>101050002022842</v>
      </c>
      <c r="J964" t="str">
        <f t="shared" si="195"/>
        <v>515120</v>
      </c>
      <c r="K964" t="s">
        <v>2</v>
      </c>
      <c r="L964">
        <v>49</v>
      </c>
      <c r="M964">
        <v>49</v>
      </c>
      <c r="N964">
        <v>0</v>
      </c>
      <c r="O964" s="1">
        <v>45583.366053240738</v>
      </c>
      <c r="P964" t="s">
        <v>125</v>
      </c>
    </row>
    <row r="965" spans="1:16" x14ac:dyDescent="0.3">
      <c r="A965" t="s">
        <v>25</v>
      </c>
      <c r="B965" s="1">
        <v>45583.366053240738</v>
      </c>
      <c r="C965" t="str">
        <f t="shared" si="194"/>
        <v>41</v>
      </c>
      <c r="D965" t="s">
        <v>120</v>
      </c>
      <c r="E965" t="s">
        <v>116</v>
      </c>
      <c r="F965" t="s">
        <v>117</v>
      </c>
      <c r="H965" t="s">
        <v>300</v>
      </c>
      <c r="I965" t="str">
        <f>"101050002022582"</f>
        <v>101050002022582</v>
      </c>
      <c r="J965" t="str">
        <f t="shared" si="195"/>
        <v>515120</v>
      </c>
      <c r="K965" t="s">
        <v>2</v>
      </c>
      <c r="L965">
        <v>49</v>
      </c>
      <c r="M965">
        <v>49</v>
      </c>
      <c r="N965">
        <v>0</v>
      </c>
      <c r="O965" s="1">
        <v>45583.366053240738</v>
      </c>
      <c r="P965" t="s">
        <v>125</v>
      </c>
    </row>
    <row r="966" spans="1:16" x14ac:dyDescent="0.3">
      <c r="A966" t="s">
        <v>25</v>
      </c>
      <c r="B966" s="1">
        <v>45583.366053240738</v>
      </c>
      <c r="C966" t="str">
        <f t="shared" si="194"/>
        <v>41</v>
      </c>
      <c r="D966" t="s">
        <v>120</v>
      </c>
      <c r="E966" t="s">
        <v>116</v>
      </c>
      <c r="F966" t="s">
        <v>117</v>
      </c>
      <c r="H966" t="s">
        <v>300</v>
      </c>
      <c r="I966" t="str">
        <f>"101050002022988"</f>
        <v>101050002022988</v>
      </c>
      <c r="J966" t="str">
        <f t="shared" si="195"/>
        <v>515120</v>
      </c>
      <c r="K966" t="s">
        <v>2</v>
      </c>
      <c r="L966">
        <v>49</v>
      </c>
      <c r="M966">
        <v>49</v>
      </c>
      <c r="N966">
        <v>0</v>
      </c>
      <c r="O966" s="1">
        <v>45583.366053240738</v>
      </c>
      <c r="P966" t="s">
        <v>125</v>
      </c>
    </row>
    <row r="967" spans="1:16" x14ac:dyDescent="0.3">
      <c r="A967" t="s">
        <v>25</v>
      </c>
      <c r="B967" s="1">
        <v>45583.366053240738</v>
      </c>
      <c r="C967" t="str">
        <f t="shared" si="194"/>
        <v>41</v>
      </c>
      <c r="D967" t="s">
        <v>120</v>
      </c>
      <c r="E967" t="s">
        <v>116</v>
      </c>
      <c r="F967" t="s">
        <v>117</v>
      </c>
      <c r="H967" t="s">
        <v>300</v>
      </c>
      <c r="I967" t="str">
        <f>"101050002022853"</f>
        <v>101050002022853</v>
      </c>
      <c r="J967" t="str">
        <f t="shared" si="195"/>
        <v>515120</v>
      </c>
      <c r="K967" t="s">
        <v>2</v>
      </c>
      <c r="L967">
        <v>49</v>
      </c>
      <c r="M967">
        <v>49</v>
      </c>
      <c r="N967">
        <v>0</v>
      </c>
      <c r="O967" s="1">
        <v>45583.366053240738</v>
      </c>
      <c r="P967" t="s">
        <v>125</v>
      </c>
    </row>
    <row r="968" spans="1:16" x14ac:dyDescent="0.3">
      <c r="A968" t="s">
        <v>25</v>
      </c>
      <c r="B968" s="1">
        <v>45583.366041666668</v>
      </c>
      <c r="C968" t="str">
        <f t="shared" si="194"/>
        <v>41</v>
      </c>
      <c r="D968" t="s">
        <v>120</v>
      </c>
      <c r="E968" t="s">
        <v>116</v>
      </c>
      <c r="F968" t="s">
        <v>117</v>
      </c>
      <c r="H968" t="s">
        <v>300</v>
      </c>
      <c r="I968" t="str">
        <f>"101050002022837"</f>
        <v>101050002022837</v>
      </c>
      <c r="J968" t="str">
        <f t="shared" si="195"/>
        <v>515120</v>
      </c>
      <c r="K968" t="s">
        <v>2</v>
      </c>
      <c r="L968">
        <v>49</v>
      </c>
      <c r="M968">
        <v>49</v>
      </c>
      <c r="N968">
        <v>0</v>
      </c>
      <c r="O968" s="1">
        <v>45583.366041666668</v>
      </c>
      <c r="P968" t="s">
        <v>125</v>
      </c>
    </row>
    <row r="969" spans="1:16" x14ac:dyDescent="0.3">
      <c r="A969" t="s">
        <v>25</v>
      </c>
      <c r="B969" s="1">
        <v>45583.360775462963</v>
      </c>
      <c r="C969" t="str">
        <f>"38"</f>
        <v>38</v>
      </c>
      <c r="D969" t="s">
        <v>115</v>
      </c>
      <c r="E969" t="s">
        <v>116</v>
      </c>
      <c r="F969" t="s">
        <v>117</v>
      </c>
      <c r="H969" t="s">
        <v>301</v>
      </c>
      <c r="L969">
        <v>0</v>
      </c>
      <c r="M969">
        <v>0</v>
      </c>
      <c r="N969">
        <v>0</v>
      </c>
      <c r="O969" s="1">
        <v>45583.360775462963</v>
      </c>
      <c r="P969" t="s">
        <v>125</v>
      </c>
    </row>
    <row r="970" spans="1:16" x14ac:dyDescent="0.3">
      <c r="A970" t="s">
        <v>25</v>
      </c>
      <c r="B970" s="1">
        <v>45583.360775462963</v>
      </c>
      <c r="C970" t="str">
        <f t="shared" ref="C970:C976" si="196">"41"</f>
        <v>41</v>
      </c>
      <c r="D970" t="s">
        <v>120</v>
      </c>
      <c r="E970" t="s">
        <v>116</v>
      </c>
      <c r="F970" t="s">
        <v>117</v>
      </c>
      <c r="H970" t="s">
        <v>301</v>
      </c>
      <c r="I970" t="str">
        <f>"101050002026983"</f>
        <v>101050002026983</v>
      </c>
      <c r="J970" t="str">
        <f t="shared" ref="J970:J976" si="197">"515122"</f>
        <v>515122</v>
      </c>
      <c r="K970" t="s">
        <v>4</v>
      </c>
      <c r="L970">
        <v>49</v>
      </c>
      <c r="M970">
        <v>49</v>
      </c>
      <c r="N970">
        <v>0</v>
      </c>
      <c r="O970" s="1">
        <v>45583.360775462963</v>
      </c>
      <c r="P970" t="s">
        <v>125</v>
      </c>
    </row>
    <row r="971" spans="1:16" x14ac:dyDescent="0.3">
      <c r="A971" t="s">
        <v>25</v>
      </c>
      <c r="B971" s="1">
        <v>45583.360775462963</v>
      </c>
      <c r="C971" t="str">
        <f t="shared" si="196"/>
        <v>41</v>
      </c>
      <c r="D971" t="s">
        <v>120</v>
      </c>
      <c r="E971" t="s">
        <v>116</v>
      </c>
      <c r="F971" t="s">
        <v>117</v>
      </c>
      <c r="H971" t="s">
        <v>301</v>
      </c>
      <c r="I971" t="str">
        <f>"101050002025912"</f>
        <v>101050002025912</v>
      </c>
      <c r="J971" t="str">
        <f t="shared" si="197"/>
        <v>515122</v>
      </c>
      <c r="K971" t="s">
        <v>4</v>
      </c>
      <c r="L971">
        <v>49</v>
      </c>
      <c r="M971">
        <v>49</v>
      </c>
      <c r="N971">
        <v>0</v>
      </c>
      <c r="O971" s="1">
        <v>45583.360775462963</v>
      </c>
      <c r="P971" t="s">
        <v>125</v>
      </c>
    </row>
    <row r="972" spans="1:16" x14ac:dyDescent="0.3">
      <c r="A972" t="s">
        <v>25</v>
      </c>
      <c r="B972" s="1">
        <v>45583.360763888886</v>
      </c>
      <c r="C972" t="str">
        <f t="shared" si="196"/>
        <v>41</v>
      </c>
      <c r="D972" t="s">
        <v>120</v>
      </c>
      <c r="E972" t="s">
        <v>116</v>
      </c>
      <c r="F972" t="s">
        <v>117</v>
      </c>
      <c r="H972" t="s">
        <v>301</v>
      </c>
      <c r="I972" t="str">
        <f>"101050002023421"</f>
        <v>101050002023421</v>
      </c>
      <c r="J972" t="str">
        <f t="shared" si="197"/>
        <v>515122</v>
      </c>
      <c r="K972" t="s">
        <v>4</v>
      </c>
      <c r="L972">
        <v>49</v>
      </c>
      <c r="M972">
        <v>49</v>
      </c>
      <c r="N972">
        <v>0</v>
      </c>
      <c r="O972" s="1">
        <v>45583.360763888886</v>
      </c>
      <c r="P972" t="s">
        <v>125</v>
      </c>
    </row>
    <row r="973" spans="1:16" x14ac:dyDescent="0.3">
      <c r="A973" t="s">
        <v>25</v>
      </c>
      <c r="B973" s="1">
        <v>45583.360763888886</v>
      </c>
      <c r="C973" t="str">
        <f t="shared" si="196"/>
        <v>41</v>
      </c>
      <c r="D973" t="s">
        <v>120</v>
      </c>
      <c r="E973" t="s">
        <v>116</v>
      </c>
      <c r="F973" t="s">
        <v>117</v>
      </c>
      <c r="H973" t="s">
        <v>301</v>
      </c>
      <c r="I973" t="str">
        <f>"101050002022161"</f>
        <v>101050002022161</v>
      </c>
      <c r="J973" t="str">
        <f t="shared" si="197"/>
        <v>515122</v>
      </c>
      <c r="K973" t="s">
        <v>4</v>
      </c>
      <c r="L973">
        <v>49</v>
      </c>
      <c r="M973">
        <v>49</v>
      </c>
      <c r="N973">
        <v>0</v>
      </c>
      <c r="O973" s="1">
        <v>45583.360763888886</v>
      </c>
      <c r="P973" t="s">
        <v>125</v>
      </c>
    </row>
    <row r="974" spans="1:16" x14ac:dyDescent="0.3">
      <c r="A974" t="s">
        <v>25</v>
      </c>
      <c r="B974" s="1">
        <v>45583.360763888886</v>
      </c>
      <c r="C974" t="str">
        <f t="shared" si="196"/>
        <v>41</v>
      </c>
      <c r="D974" t="s">
        <v>120</v>
      </c>
      <c r="E974" t="s">
        <v>116</v>
      </c>
      <c r="F974" t="s">
        <v>117</v>
      </c>
      <c r="H974" t="s">
        <v>301</v>
      </c>
      <c r="I974" t="str">
        <f>"101050002022163"</f>
        <v>101050002022163</v>
      </c>
      <c r="J974" t="str">
        <f t="shared" si="197"/>
        <v>515122</v>
      </c>
      <c r="K974" t="s">
        <v>4</v>
      </c>
      <c r="L974">
        <v>49</v>
      </c>
      <c r="M974">
        <v>49</v>
      </c>
      <c r="N974">
        <v>0</v>
      </c>
      <c r="O974" s="1">
        <v>45583.360763888886</v>
      </c>
      <c r="P974" t="s">
        <v>125</v>
      </c>
    </row>
    <row r="975" spans="1:16" x14ac:dyDescent="0.3">
      <c r="A975" t="s">
        <v>25</v>
      </c>
      <c r="B975" s="1">
        <v>45583.360752314817</v>
      </c>
      <c r="C975" t="str">
        <f t="shared" si="196"/>
        <v>41</v>
      </c>
      <c r="D975" t="s">
        <v>120</v>
      </c>
      <c r="E975" t="s">
        <v>116</v>
      </c>
      <c r="F975" t="s">
        <v>117</v>
      </c>
      <c r="H975" t="s">
        <v>301</v>
      </c>
      <c r="I975" t="str">
        <f>"101050002022164"</f>
        <v>101050002022164</v>
      </c>
      <c r="J975" t="str">
        <f t="shared" si="197"/>
        <v>515122</v>
      </c>
      <c r="K975" t="s">
        <v>4</v>
      </c>
      <c r="L975">
        <v>49</v>
      </c>
      <c r="M975">
        <v>49</v>
      </c>
      <c r="N975">
        <v>0</v>
      </c>
      <c r="O975" s="1">
        <v>45583.360752314817</v>
      </c>
      <c r="P975" t="s">
        <v>125</v>
      </c>
    </row>
    <row r="976" spans="1:16" x14ac:dyDescent="0.3">
      <c r="A976" t="s">
        <v>25</v>
      </c>
      <c r="B976" s="1">
        <v>45583.360752314817</v>
      </c>
      <c r="C976" t="str">
        <f t="shared" si="196"/>
        <v>41</v>
      </c>
      <c r="D976" t="s">
        <v>120</v>
      </c>
      <c r="E976" t="s">
        <v>116</v>
      </c>
      <c r="F976" t="s">
        <v>117</v>
      </c>
      <c r="H976" t="s">
        <v>301</v>
      </c>
      <c r="I976" t="str">
        <f>"101050002021636"</f>
        <v>101050002021636</v>
      </c>
      <c r="J976" t="str">
        <f t="shared" si="197"/>
        <v>515122</v>
      </c>
      <c r="K976" t="s">
        <v>4</v>
      </c>
      <c r="L976">
        <v>49</v>
      </c>
      <c r="M976">
        <v>49</v>
      </c>
      <c r="N976">
        <v>0</v>
      </c>
      <c r="O976" s="1">
        <v>45583.360752314817</v>
      </c>
      <c r="P976" t="s">
        <v>125</v>
      </c>
    </row>
    <row r="977" spans="1:16" x14ac:dyDescent="0.3">
      <c r="A977" t="s">
        <v>25</v>
      </c>
      <c r="B977" s="1">
        <v>45583.359710648147</v>
      </c>
      <c r="C977" t="str">
        <f>"38"</f>
        <v>38</v>
      </c>
      <c r="D977" t="s">
        <v>115</v>
      </c>
      <c r="E977" t="s">
        <v>116</v>
      </c>
      <c r="F977" t="s">
        <v>117</v>
      </c>
      <c r="H977" t="s">
        <v>302</v>
      </c>
      <c r="L977">
        <v>0</v>
      </c>
      <c r="M977">
        <v>0</v>
      </c>
      <c r="N977">
        <v>0</v>
      </c>
      <c r="O977" s="1">
        <v>45583.359710648147</v>
      </c>
      <c r="P977" t="s">
        <v>125</v>
      </c>
    </row>
    <row r="978" spans="1:16" x14ac:dyDescent="0.3">
      <c r="A978" t="s">
        <v>25</v>
      </c>
      <c r="B978" s="1">
        <v>45583.359710648147</v>
      </c>
      <c r="C978" t="str">
        <f t="shared" ref="C978:C984" si="198">"41"</f>
        <v>41</v>
      </c>
      <c r="D978" t="s">
        <v>120</v>
      </c>
      <c r="E978" t="s">
        <v>116</v>
      </c>
      <c r="F978" t="s">
        <v>117</v>
      </c>
      <c r="H978" t="s">
        <v>302</v>
      </c>
      <c r="I978" t="str">
        <f>"101050002023723"</f>
        <v>101050002023723</v>
      </c>
      <c r="J978" t="str">
        <f t="shared" ref="J978:J984" si="199">"515122"</f>
        <v>515122</v>
      </c>
      <c r="K978" t="s">
        <v>4</v>
      </c>
      <c r="L978">
        <v>49</v>
      </c>
      <c r="M978">
        <v>49</v>
      </c>
      <c r="N978">
        <v>0</v>
      </c>
      <c r="O978" s="1">
        <v>45583.359710648147</v>
      </c>
      <c r="P978" t="s">
        <v>125</v>
      </c>
    </row>
    <row r="979" spans="1:16" x14ac:dyDescent="0.3">
      <c r="A979" t="s">
        <v>25</v>
      </c>
      <c r="B979" s="1">
        <v>45583.359710648147</v>
      </c>
      <c r="C979" t="str">
        <f t="shared" si="198"/>
        <v>41</v>
      </c>
      <c r="D979" t="s">
        <v>120</v>
      </c>
      <c r="E979" t="s">
        <v>116</v>
      </c>
      <c r="F979" t="s">
        <v>117</v>
      </c>
      <c r="H979" t="s">
        <v>302</v>
      </c>
      <c r="I979" t="str">
        <f>"101050002023420"</f>
        <v>101050002023420</v>
      </c>
      <c r="J979" t="str">
        <f t="shared" si="199"/>
        <v>515122</v>
      </c>
      <c r="K979" t="s">
        <v>4</v>
      </c>
      <c r="L979">
        <v>49</v>
      </c>
      <c r="M979">
        <v>49</v>
      </c>
      <c r="N979">
        <v>0</v>
      </c>
      <c r="O979" s="1">
        <v>45583.359710648147</v>
      </c>
      <c r="P979" t="s">
        <v>125</v>
      </c>
    </row>
    <row r="980" spans="1:16" x14ac:dyDescent="0.3">
      <c r="A980" t="s">
        <v>25</v>
      </c>
      <c r="B980" s="1">
        <v>45583.359710648147</v>
      </c>
      <c r="C980" t="str">
        <f t="shared" si="198"/>
        <v>41</v>
      </c>
      <c r="D980" t="s">
        <v>120</v>
      </c>
      <c r="E980" t="s">
        <v>116</v>
      </c>
      <c r="F980" t="s">
        <v>117</v>
      </c>
      <c r="H980" t="s">
        <v>302</v>
      </c>
      <c r="I980" t="str">
        <f>"101050002023375"</f>
        <v>101050002023375</v>
      </c>
      <c r="J980" t="str">
        <f t="shared" si="199"/>
        <v>515122</v>
      </c>
      <c r="K980" t="s">
        <v>4</v>
      </c>
      <c r="L980">
        <v>49</v>
      </c>
      <c r="M980">
        <v>49</v>
      </c>
      <c r="N980">
        <v>0</v>
      </c>
      <c r="O980" s="1">
        <v>45583.359710648147</v>
      </c>
      <c r="P980" t="s">
        <v>125</v>
      </c>
    </row>
    <row r="981" spans="1:16" x14ac:dyDescent="0.3">
      <c r="A981" t="s">
        <v>25</v>
      </c>
      <c r="B981" s="1">
        <v>45583.359710648147</v>
      </c>
      <c r="C981" t="str">
        <f t="shared" si="198"/>
        <v>41</v>
      </c>
      <c r="D981" t="s">
        <v>120</v>
      </c>
      <c r="E981" t="s">
        <v>116</v>
      </c>
      <c r="F981" t="s">
        <v>117</v>
      </c>
      <c r="H981" t="s">
        <v>302</v>
      </c>
      <c r="I981" t="str">
        <f>"101050002023376"</f>
        <v>101050002023376</v>
      </c>
      <c r="J981" t="str">
        <f t="shared" si="199"/>
        <v>515122</v>
      </c>
      <c r="K981" t="s">
        <v>4</v>
      </c>
      <c r="L981">
        <v>49</v>
      </c>
      <c r="M981">
        <v>49</v>
      </c>
      <c r="N981">
        <v>0</v>
      </c>
      <c r="O981" s="1">
        <v>45583.359710648147</v>
      </c>
      <c r="P981" t="s">
        <v>125</v>
      </c>
    </row>
    <row r="982" spans="1:16" x14ac:dyDescent="0.3">
      <c r="A982" t="s">
        <v>25</v>
      </c>
      <c r="B982" s="1">
        <v>45583.359710648147</v>
      </c>
      <c r="C982" t="str">
        <f t="shared" si="198"/>
        <v>41</v>
      </c>
      <c r="D982" t="s">
        <v>120</v>
      </c>
      <c r="E982" t="s">
        <v>116</v>
      </c>
      <c r="F982" t="s">
        <v>117</v>
      </c>
      <c r="H982" t="s">
        <v>302</v>
      </c>
      <c r="I982" t="str">
        <f>"101050002023374"</f>
        <v>101050002023374</v>
      </c>
      <c r="J982" t="str">
        <f t="shared" si="199"/>
        <v>515122</v>
      </c>
      <c r="K982" t="s">
        <v>4</v>
      </c>
      <c r="L982">
        <v>49</v>
      </c>
      <c r="M982">
        <v>49</v>
      </c>
      <c r="N982">
        <v>0</v>
      </c>
      <c r="O982" s="1">
        <v>45583.359710648147</v>
      </c>
      <c r="P982" t="s">
        <v>125</v>
      </c>
    </row>
    <row r="983" spans="1:16" x14ac:dyDescent="0.3">
      <c r="A983" t="s">
        <v>25</v>
      </c>
      <c r="B983" s="1">
        <v>45583.359710648147</v>
      </c>
      <c r="C983" t="str">
        <f t="shared" si="198"/>
        <v>41</v>
      </c>
      <c r="D983" t="s">
        <v>120</v>
      </c>
      <c r="E983" t="s">
        <v>116</v>
      </c>
      <c r="F983" t="s">
        <v>117</v>
      </c>
      <c r="H983" t="s">
        <v>302</v>
      </c>
      <c r="I983" t="str">
        <f>"101050002022683"</f>
        <v>101050002022683</v>
      </c>
      <c r="J983" t="str">
        <f t="shared" si="199"/>
        <v>515122</v>
      </c>
      <c r="K983" t="s">
        <v>4</v>
      </c>
      <c r="L983">
        <v>49</v>
      </c>
      <c r="M983">
        <v>49</v>
      </c>
      <c r="N983">
        <v>0</v>
      </c>
      <c r="O983" s="1">
        <v>45583.359710648147</v>
      </c>
      <c r="P983" t="s">
        <v>125</v>
      </c>
    </row>
    <row r="984" spans="1:16" x14ac:dyDescent="0.3">
      <c r="A984" t="s">
        <v>25</v>
      </c>
      <c r="B984" s="1">
        <v>45583.359710648147</v>
      </c>
      <c r="C984" t="str">
        <f t="shared" si="198"/>
        <v>41</v>
      </c>
      <c r="D984" t="s">
        <v>120</v>
      </c>
      <c r="E984" t="s">
        <v>116</v>
      </c>
      <c r="F984" t="s">
        <v>117</v>
      </c>
      <c r="H984" t="s">
        <v>302</v>
      </c>
      <c r="I984" t="str">
        <f>"101050002022162"</f>
        <v>101050002022162</v>
      </c>
      <c r="J984" t="str">
        <f t="shared" si="199"/>
        <v>515122</v>
      </c>
      <c r="K984" t="s">
        <v>4</v>
      </c>
      <c r="L984">
        <v>49</v>
      </c>
      <c r="M984">
        <v>49</v>
      </c>
      <c r="N984">
        <v>0</v>
      </c>
      <c r="O984" s="1">
        <v>45583.359710648147</v>
      </c>
      <c r="P984" t="s">
        <v>125</v>
      </c>
    </row>
    <row r="985" spans="1:16" x14ac:dyDescent="0.3">
      <c r="A985" t="s">
        <v>25</v>
      </c>
      <c r="B985" s="1">
        <v>45583.35800925926</v>
      </c>
      <c r="C985" t="str">
        <f>"38"</f>
        <v>38</v>
      </c>
      <c r="D985" t="s">
        <v>115</v>
      </c>
      <c r="E985" t="s">
        <v>116</v>
      </c>
      <c r="F985" t="s">
        <v>117</v>
      </c>
      <c r="H985" t="s">
        <v>303</v>
      </c>
      <c r="L985">
        <v>0</v>
      </c>
      <c r="M985">
        <v>0</v>
      </c>
      <c r="N985">
        <v>0</v>
      </c>
      <c r="O985" s="1">
        <v>45583.35800925926</v>
      </c>
      <c r="P985" t="s">
        <v>138</v>
      </c>
    </row>
    <row r="986" spans="1:16" x14ac:dyDescent="0.3">
      <c r="A986" t="s">
        <v>25</v>
      </c>
      <c r="B986" s="1">
        <v>45583.35800925926</v>
      </c>
      <c r="C986" t="str">
        <f>"41"</f>
        <v>41</v>
      </c>
      <c r="D986" t="s">
        <v>120</v>
      </c>
      <c r="E986" t="s">
        <v>116</v>
      </c>
      <c r="F986" t="s">
        <v>117</v>
      </c>
      <c r="H986" t="s">
        <v>303</v>
      </c>
      <c r="I986" t="str">
        <f>"101050002005247"</f>
        <v>101050002005247</v>
      </c>
      <c r="J986" t="str">
        <f>"515061"</f>
        <v>515061</v>
      </c>
      <c r="K986" t="s">
        <v>96</v>
      </c>
      <c r="L986">
        <v>49</v>
      </c>
      <c r="M986">
        <v>49</v>
      </c>
      <c r="N986">
        <v>0</v>
      </c>
      <c r="O986" s="1">
        <v>45583.35800925926</v>
      </c>
      <c r="P986" t="s">
        <v>138</v>
      </c>
    </row>
    <row r="987" spans="1:16" x14ac:dyDescent="0.3">
      <c r="A987" t="s">
        <v>25</v>
      </c>
      <c r="B987" s="1">
        <v>45583.35800925926</v>
      </c>
      <c r="C987" t="str">
        <f>"41"</f>
        <v>41</v>
      </c>
      <c r="D987" t="s">
        <v>120</v>
      </c>
      <c r="E987" t="s">
        <v>116</v>
      </c>
      <c r="F987" t="s">
        <v>117</v>
      </c>
      <c r="H987" t="s">
        <v>303</v>
      </c>
      <c r="I987" t="str">
        <f>"101050002005215"</f>
        <v>101050002005215</v>
      </c>
      <c r="J987" t="str">
        <f>"515061"</f>
        <v>515061</v>
      </c>
      <c r="K987" t="s">
        <v>96</v>
      </c>
      <c r="L987">
        <v>49</v>
      </c>
      <c r="M987">
        <v>49</v>
      </c>
      <c r="N987">
        <v>0</v>
      </c>
      <c r="O987" s="1">
        <v>45583.35800925926</v>
      </c>
      <c r="P987" t="s">
        <v>138</v>
      </c>
    </row>
    <row r="988" spans="1:16" x14ac:dyDescent="0.3">
      <c r="A988" t="s">
        <v>25</v>
      </c>
      <c r="B988" s="1">
        <v>45583.35800925926</v>
      </c>
      <c r="C988" t="str">
        <f>"41"</f>
        <v>41</v>
      </c>
      <c r="D988" t="s">
        <v>120</v>
      </c>
      <c r="E988" t="s">
        <v>116</v>
      </c>
      <c r="F988" t="s">
        <v>117</v>
      </c>
      <c r="H988" t="s">
        <v>303</v>
      </c>
      <c r="I988" t="str">
        <f>"101050002005211"</f>
        <v>101050002005211</v>
      </c>
      <c r="J988" t="str">
        <f>"515061"</f>
        <v>515061</v>
      </c>
      <c r="K988" t="s">
        <v>96</v>
      </c>
      <c r="L988">
        <v>49</v>
      </c>
      <c r="M988">
        <v>49</v>
      </c>
      <c r="N988">
        <v>0</v>
      </c>
      <c r="O988" s="1">
        <v>45583.35800925926</v>
      </c>
      <c r="P988" t="s">
        <v>138</v>
      </c>
    </row>
    <row r="989" spans="1:16" x14ac:dyDescent="0.3">
      <c r="A989" t="s">
        <v>25</v>
      </c>
      <c r="B989" s="1">
        <v>45583.35800925926</v>
      </c>
      <c r="C989" t="str">
        <f>"41"</f>
        <v>41</v>
      </c>
      <c r="D989" t="s">
        <v>120</v>
      </c>
      <c r="E989" t="s">
        <v>116</v>
      </c>
      <c r="F989" t="s">
        <v>117</v>
      </c>
      <c r="H989" t="s">
        <v>303</v>
      </c>
      <c r="I989" t="str">
        <f>"101050002004503"</f>
        <v>101050002004503</v>
      </c>
      <c r="J989" t="str">
        <f>"515061"</f>
        <v>515061</v>
      </c>
      <c r="K989" t="s">
        <v>96</v>
      </c>
      <c r="L989">
        <v>49</v>
      </c>
      <c r="M989">
        <v>49</v>
      </c>
      <c r="N989">
        <v>0</v>
      </c>
      <c r="O989" s="1">
        <v>45583.35800925926</v>
      </c>
      <c r="P989" t="s">
        <v>138</v>
      </c>
    </row>
    <row r="990" spans="1:16" x14ac:dyDescent="0.3">
      <c r="A990" t="s">
        <v>25</v>
      </c>
      <c r="B990" s="1">
        <v>45583.357488425929</v>
      </c>
      <c r="C990" t="str">
        <f>"38"</f>
        <v>38</v>
      </c>
      <c r="D990" t="s">
        <v>115</v>
      </c>
      <c r="E990" t="s">
        <v>116</v>
      </c>
      <c r="F990" t="s">
        <v>117</v>
      </c>
      <c r="H990" t="s">
        <v>304</v>
      </c>
      <c r="L990">
        <v>0</v>
      </c>
      <c r="M990">
        <v>0</v>
      </c>
      <c r="N990">
        <v>0</v>
      </c>
      <c r="O990" s="1">
        <v>45583.357488425929</v>
      </c>
      <c r="P990" t="s">
        <v>138</v>
      </c>
    </row>
    <row r="991" spans="1:16" x14ac:dyDescent="0.3">
      <c r="A991" t="s">
        <v>25</v>
      </c>
      <c r="B991" s="1">
        <v>45583.357488425929</v>
      </c>
      <c r="C991" t="str">
        <f t="shared" ref="C991:C997" si="200">"41"</f>
        <v>41</v>
      </c>
      <c r="D991" t="s">
        <v>120</v>
      </c>
      <c r="E991" t="s">
        <v>116</v>
      </c>
      <c r="F991" t="s">
        <v>117</v>
      </c>
      <c r="H991" t="s">
        <v>304</v>
      </c>
      <c r="I991" t="str">
        <f>"101050002016961"</f>
        <v>101050002016961</v>
      </c>
      <c r="J991" t="str">
        <f t="shared" ref="J991:J997" si="201">"127802"</f>
        <v>127802</v>
      </c>
      <c r="K991" t="s">
        <v>6</v>
      </c>
      <c r="L991">
        <v>91</v>
      </c>
      <c r="M991">
        <v>91</v>
      </c>
      <c r="N991">
        <v>0</v>
      </c>
      <c r="O991" s="1">
        <v>45583.357488425929</v>
      </c>
      <c r="P991" t="s">
        <v>138</v>
      </c>
    </row>
    <row r="992" spans="1:16" x14ac:dyDescent="0.3">
      <c r="A992" t="s">
        <v>25</v>
      </c>
      <c r="B992" s="1">
        <v>45583.357488425929</v>
      </c>
      <c r="C992" t="str">
        <f t="shared" si="200"/>
        <v>41</v>
      </c>
      <c r="D992" t="s">
        <v>120</v>
      </c>
      <c r="E992" t="s">
        <v>116</v>
      </c>
      <c r="F992" t="s">
        <v>117</v>
      </c>
      <c r="H992" t="s">
        <v>304</v>
      </c>
      <c r="I992" t="str">
        <f>"101050002016634"</f>
        <v>101050002016634</v>
      </c>
      <c r="J992" t="str">
        <f t="shared" si="201"/>
        <v>127802</v>
      </c>
      <c r="K992" t="s">
        <v>6</v>
      </c>
      <c r="L992">
        <v>91</v>
      </c>
      <c r="M992">
        <v>91</v>
      </c>
      <c r="N992">
        <v>0</v>
      </c>
      <c r="O992" s="1">
        <v>45583.357488425929</v>
      </c>
      <c r="P992" t="s">
        <v>138</v>
      </c>
    </row>
    <row r="993" spans="1:16" x14ac:dyDescent="0.3">
      <c r="A993" t="s">
        <v>25</v>
      </c>
      <c r="B993" s="1">
        <v>45583.357488425929</v>
      </c>
      <c r="C993" t="str">
        <f t="shared" si="200"/>
        <v>41</v>
      </c>
      <c r="D993" t="s">
        <v>120</v>
      </c>
      <c r="E993" t="s">
        <v>116</v>
      </c>
      <c r="F993" t="s">
        <v>117</v>
      </c>
      <c r="H993" t="s">
        <v>304</v>
      </c>
      <c r="I993" t="str">
        <f>"101050002016683"</f>
        <v>101050002016683</v>
      </c>
      <c r="J993" t="str">
        <f t="shared" si="201"/>
        <v>127802</v>
      </c>
      <c r="K993" t="s">
        <v>6</v>
      </c>
      <c r="L993">
        <v>91</v>
      </c>
      <c r="M993">
        <v>91</v>
      </c>
      <c r="N993">
        <v>0</v>
      </c>
      <c r="O993" s="1">
        <v>45583.357488425929</v>
      </c>
      <c r="P993" t="s">
        <v>138</v>
      </c>
    </row>
    <row r="994" spans="1:16" x14ac:dyDescent="0.3">
      <c r="A994" t="s">
        <v>25</v>
      </c>
      <c r="B994" s="1">
        <v>45583.357488425929</v>
      </c>
      <c r="C994" t="str">
        <f t="shared" si="200"/>
        <v>41</v>
      </c>
      <c r="D994" t="s">
        <v>120</v>
      </c>
      <c r="E994" t="s">
        <v>116</v>
      </c>
      <c r="F994" t="s">
        <v>117</v>
      </c>
      <c r="H994" t="s">
        <v>304</v>
      </c>
      <c r="I994" t="str">
        <f>"101050002016216"</f>
        <v>101050002016216</v>
      </c>
      <c r="J994" t="str">
        <f t="shared" si="201"/>
        <v>127802</v>
      </c>
      <c r="K994" t="s">
        <v>6</v>
      </c>
      <c r="L994">
        <v>91</v>
      </c>
      <c r="M994">
        <v>91</v>
      </c>
      <c r="N994">
        <v>0</v>
      </c>
      <c r="O994" s="1">
        <v>45583.357488425929</v>
      </c>
      <c r="P994" t="s">
        <v>138</v>
      </c>
    </row>
    <row r="995" spans="1:16" x14ac:dyDescent="0.3">
      <c r="A995" t="s">
        <v>25</v>
      </c>
      <c r="B995" s="1">
        <v>45583.357476851852</v>
      </c>
      <c r="C995" t="str">
        <f t="shared" si="200"/>
        <v>41</v>
      </c>
      <c r="D995" t="s">
        <v>120</v>
      </c>
      <c r="E995" t="s">
        <v>116</v>
      </c>
      <c r="F995" t="s">
        <v>117</v>
      </c>
      <c r="H995" t="s">
        <v>304</v>
      </c>
      <c r="I995" t="str">
        <f>"101050002016214"</f>
        <v>101050002016214</v>
      </c>
      <c r="J995" t="str">
        <f t="shared" si="201"/>
        <v>127802</v>
      </c>
      <c r="K995" t="s">
        <v>6</v>
      </c>
      <c r="L995">
        <v>91</v>
      </c>
      <c r="M995">
        <v>91</v>
      </c>
      <c r="N995">
        <v>0</v>
      </c>
      <c r="O995" s="1">
        <v>45583.357476851852</v>
      </c>
      <c r="P995" t="s">
        <v>138</v>
      </c>
    </row>
    <row r="996" spans="1:16" x14ac:dyDescent="0.3">
      <c r="A996" t="s">
        <v>25</v>
      </c>
      <c r="B996" s="1">
        <v>45583.357476851852</v>
      </c>
      <c r="C996" t="str">
        <f t="shared" si="200"/>
        <v>41</v>
      </c>
      <c r="D996" t="s">
        <v>120</v>
      </c>
      <c r="E996" t="s">
        <v>116</v>
      </c>
      <c r="F996" t="s">
        <v>117</v>
      </c>
      <c r="H996" t="s">
        <v>304</v>
      </c>
      <c r="I996" t="str">
        <f>"101050002015991"</f>
        <v>101050002015991</v>
      </c>
      <c r="J996" t="str">
        <f t="shared" si="201"/>
        <v>127802</v>
      </c>
      <c r="K996" t="s">
        <v>6</v>
      </c>
      <c r="L996">
        <v>91</v>
      </c>
      <c r="M996">
        <v>91</v>
      </c>
      <c r="N996">
        <v>0</v>
      </c>
      <c r="O996" s="1">
        <v>45583.357476851852</v>
      </c>
      <c r="P996" t="s">
        <v>138</v>
      </c>
    </row>
    <row r="997" spans="1:16" x14ac:dyDescent="0.3">
      <c r="A997" t="s">
        <v>25</v>
      </c>
      <c r="B997" s="1">
        <v>45583.357476851852</v>
      </c>
      <c r="C997" t="str">
        <f t="shared" si="200"/>
        <v>41</v>
      </c>
      <c r="D997" t="s">
        <v>120</v>
      </c>
      <c r="E997" t="s">
        <v>116</v>
      </c>
      <c r="F997" t="s">
        <v>117</v>
      </c>
      <c r="H997" t="s">
        <v>304</v>
      </c>
      <c r="I997" t="str">
        <f>"101050002016176"</f>
        <v>101050002016176</v>
      </c>
      <c r="J997" t="str">
        <f t="shared" si="201"/>
        <v>127802</v>
      </c>
      <c r="K997" t="s">
        <v>6</v>
      </c>
      <c r="L997">
        <v>91</v>
      </c>
      <c r="M997">
        <v>91</v>
      </c>
      <c r="N997">
        <v>0</v>
      </c>
      <c r="O997" s="1">
        <v>45583.357476851852</v>
      </c>
      <c r="P997" t="s">
        <v>138</v>
      </c>
    </row>
    <row r="998" spans="1:16" x14ac:dyDescent="0.3">
      <c r="A998" t="s">
        <v>25</v>
      </c>
      <c r="B998" s="1">
        <v>45583.357083333336</v>
      </c>
      <c r="C998" t="str">
        <f>"38"</f>
        <v>38</v>
      </c>
      <c r="D998" t="s">
        <v>115</v>
      </c>
      <c r="E998" t="s">
        <v>116</v>
      </c>
      <c r="F998" t="s">
        <v>117</v>
      </c>
      <c r="H998" t="s">
        <v>305</v>
      </c>
      <c r="L998">
        <v>0</v>
      </c>
      <c r="M998">
        <v>0</v>
      </c>
      <c r="N998">
        <v>0</v>
      </c>
      <c r="O998" s="1">
        <v>45583.357083333336</v>
      </c>
      <c r="P998" t="s">
        <v>122</v>
      </c>
    </row>
    <row r="999" spans="1:16" x14ac:dyDescent="0.3">
      <c r="A999" t="s">
        <v>25</v>
      </c>
      <c r="B999" s="1">
        <v>45583.357071759259</v>
      </c>
      <c r="C999" t="str">
        <f t="shared" ref="C999:C1004" si="202">"41"</f>
        <v>41</v>
      </c>
      <c r="D999" t="s">
        <v>120</v>
      </c>
      <c r="E999" t="s">
        <v>116</v>
      </c>
      <c r="F999" t="s">
        <v>117</v>
      </c>
      <c r="H999" t="s">
        <v>305</v>
      </c>
      <c r="I999" t="str">
        <f>"101050002022744"</f>
        <v>101050002022744</v>
      </c>
      <c r="J999" t="str">
        <f t="shared" ref="J999:J1004" si="203">"127577"</f>
        <v>127577</v>
      </c>
      <c r="K999" t="s">
        <v>62</v>
      </c>
      <c r="L999">
        <v>91</v>
      </c>
      <c r="M999">
        <v>91</v>
      </c>
      <c r="N999">
        <v>0</v>
      </c>
      <c r="O999" s="1">
        <v>45583.357071759259</v>
      </c>
      <c r="P999" t="s">
        <v>122</v>
      </c>
    </row>
    <row r="1000" spans="1:16" x14ac:dyDescent="0.3">
      <c r="A1000" t="s">
        <v>25</v>
      </c>
      <c r="B1000" s="1">
        <v>45583.357071759259</v>
      </c>
      <c r="C1000" t="str">
        <f t="shared" si="202"/>
        <v>41</v>
      </c>
      <c r="D1000" t="s">
        <v>120</v>
      </c>
      <c r="E1000" t="s">
        <v>116</v>
      </c>
      <c r="F1000" t="s">
        <v>117</v>
      </c>
      <c r="H1000" t="s">
        <v>305</v>
      </c>
      <c r="I1000" t="str">
        <f>"101050002022338"</f>
        <v>101050002022338</v>
      </c>
      <c r="J1000" t="str">
        <f t="shared" si="203"/>
        <v>127577</v>
      </c>
      <c r="K1000" t="s">
        <v>62</v>
      </c>
      <c r="L1000">
        <v>91</v>
      </c>
      <c r="M1000">
        <v>91</v>
      </c>
      <c r="N1000">
        <v>0</v>
      </c>
      <c r="O1000" s="1">
        <v>45583.357071759259</v>
      </c>
      <c r="P1000" t="s">
        <v>122</v>
      </c>
    </row>
    <row r="1001" spans="1:16" x14ac:dyDescent="0.3">
      <c r="A1001" t="s">
        <v>25</v>
      </c>
      <c r="B1001" s="1">
        <v>45583.357071759259</v>
      </c>
      <c r="C1001" t="str">
        <f t="shared" si="202"/>
        <v>41</v>
      </c>
      <c r="D1001" t="s">
        <v>120</v>
      </c>
      <c r="E1001" t="s">
        <v>116</v>
      </c>
      <c r="F1001" t="s">
        <v>117</v>
      </c>
      <c r="H1001" t="s">
        <v>305</v>
      </c>
      <c r="I1001" t="str">
        <f>"101050002022253"</f>
        <v>101050002022253</v>
      </c>
      <c r="J1001" t="str">
        <f t="shared" si="203"/>
        <v>127577</v>
      </c>
      <c r="K1001" t="s">
        <v>62</v>
      </c>
      <c r="L1001">
        <v>91</v>
      </c>
      <c r="M1001">
        <v>91</v>
      </c>
      <c r="N1001">
        <v>0</v>
      </c>
      <c r="O1001" s="1">
        <v>45583.357071759259</v>
      </c>
      <c r="P1001" t="s">
        <v>122</v>
      </c>
    </row>
    <row r="1002" spans="1:16" x14ac:dyDescent="0.3">
      <c r="A1002" t="s">
        <v>25</v>
      </c>
      <c r="B1002" s="1">
        <v>45583.357071759259</v>
      </c>
      <c r="C1002" t="str">
        <f t="shared" si="202"/>
        <v>41</v>
      </c>
      <c r="D1002" t="s">
        <v>120</v>
      </c>
      <c r="E1002" t="s">
        <v>116</v>
      </c>
      <c r="F1002" t="s">
        <v>117</v>
      </c>
      <c r="H1002" t="s">
        <v>305</v>
      </c>
      <c r="I1002" t="str">
        <f>"101050002022116"</f>
        <v>101050002022116</v>
      </c>
      <c r="J1002" t="str">
        <f t="shared" si="203"/>
        <v>127577</v>
      </c>
      <c r="K1002" t="s">
        <v>62</v>
      </c>
      <c r="L1002">
        <v>91</v>
      </c>
      <c r="M1002">
        <v>91</v>
      </c>
      <c r="N1002">
        <v>0</v>
      </c>
      <c r="O1002" s="1">
        <v>45583.357071759259</v>
      </c>
      <c r="P1002" t="s">
        <v>122</v>
      </c>
    </row>
    <row r="1003" spans="1:16" x14ac:dyDescent="0.3">
      <c r="A1003" t="s">
        <v>25</v>
      </c>
      <c r="B1003" s="1">
        <v>45583.357071759259</v>
      </c>
      <c r="C1003" t="str">
        <f t="shared" si="202"/>
        <v>41</v>
      </c>
      <c r="D1003" t="s">
        <v>120</v>
      </c>
      <c r="E1003" t="s">
        <v>116</v>
      </c>
      <c r="F1003" t="s">
        <v>117</v>
      </c>
      <c r="H1003" t="s">
        <v>305</v>
      </c>
      <c r="I1003" t="str">
        <f>"101050002014711"</f>
        <v>101050002014711</v>
      </c>
      <c r="J1003" t="str">
        <f t="shared" si="203"/>
        <v>127577</v>
      </c>
      <c r="K1003" t="s">
        <v>62</v>
      </c>
      <c r="L1003">
        <v>91</v>
      </c>
      <c r="M1003">
        <v>91</v>
      </c>
      <c r="N1003">
        <v>0</v>
      </c>
      <c r="O1003" s="1">
        <v>45583.357071759259</v>
      </c>
      <c r="P1003" t="s">
        <v>122</v>
      </c>
    </row>
    <row r="1004" spans="1:16" x14ac:dyDescent="0.3">
      <c r="A1004" t="s">
        <v>25</v>
      </c>
      <c r="B1004" s="1">
        <v>45583.357071759259</v>
      </c>
      <c r="C1004" t="str">
        <f t="shared" si="202"/>
        <v>41</v>
      </c>
      <c r="D1004" t="s">
        <v>120</v>
      </c>
      <c r="E1004" t="s">
        <v>116</v>
      </c>
      <c r="F1004" t="s">
        <v>117</v>
      </c>
      <c r="H1004" t="s">
        <v>305</v>
      </c>
      <c r="I1004" t="str">
        <f>"101050002014649"</f>
        <v>101050002014649</v>
      </c>
      <c r="J1004" t="str">
        <f t="shared" si="203"/>
        <v>127577</v>
      </c>
      <c r="K1004" t="s">
        <v>62</v>
      </c>
      <c r="L1004">
        <v>91</v>
      </c>
      <c r="M1004">
        <v>91</v>
      </c>
      <c r="N1004">
        <v>0</v>
      </c>
      <c r="O1004" s="1">
        <v>45583.357071759259</v>
      </c>
      <c r="P1004" t="s">
        <v>122</v>
      </c>
    </row>
    <row r="1005" spans="1:16" x14ac:dyDescent="0.3">
      <c r="A1005" t="s">
        <v>25</v>
      </c>
      <c r="B1005" s="1">
        <v>45583.356064814812</v>
      </c>
      <c r="C1005" t="str">
        <f>"38"</f>
        <v>38</v>
      </c>
      <c r="D1005" t="s">
        <v>115</v>
      </c>
      <c r="E1005" t="s">
        <v>116</v>
      </c>
      <c r="F1005" t="s">
        <v>117</v>
      </c>
      <c r="H1005" t="s">
        <v>306</v>
      </c>
      <c r="L1005">
        <v>0</v>
      </c>
      <c r="M1005">
        <v>0</v>
      </c>
      <c r="N1005">
        <v>0</v>
      </c>
      <c r="O1005" s="1">
        <v>45583.356064814812</v>
      </c>
      <c r="P1005" t="s">
        <v>138</v>
      </c>
    </row>
    <row r="1006" spans="1:16" x14ac:dyDescent="0.3">
      <c r="A1006" t="s">
        <v>25</v>
      </c>
      <c r="B1006" s="1">
        <v>45583.356064814812</v>
      </c>
      <c r="C1006" t="str">
        <f t="shared" ref="C1006:C1012" si="204">"41"</f>
        <v>41</v>
      </c>
      <c r="D1006" t="s">
        <v>120</v>
      </c>
      <c r="E1006" t="s">
        <v>116</v>
      </c>
      <c r="F1006" t="s">
        <v>117</v>
      </c>
      <c r="H1006" t="s">
        <v>306</v>
      </c>
      <c r="I1006" t="str">
        <f>"101050002023714"</f>
        <v>101050002023714</v>
      </c>
      <c r="J1006" t="str">
        <f t="shared" ref="J1006:J1012" si="205">"515120"</f>
        <v>515120</v>
      </c>
      <c r="K1006" t="s">
        <v>2</v>
      </c>
      <c r="L1006">
        <v>49</v>
      </c>
      <c r="M1006">
        <v>49</v>
      </c>
      <c r="N1006">
        <v>0</v>
      </c>
      <c r="O1006" s="1">
        <v>45583.356064814812</v>
      </c>
      <c r="P1006" t="s">
        <v>138</v>
      </c>
    </row>
    <row r="1007" spans="1:16" x14ac:dyDescent="0.3">
      <c r="A1007" t="s">
        <v>25</v>
      </c>
      <c r="B1007" s="1">
        <v>45583.356064814812</v>
      </c>
      <c r="C1007" t="str">
        <f t="shared" si="204"/>
        <v>41</v>
      </c>
      <c r="D1007" t="s">
        <v>120</v>
      </c>
      <c r="E1007" t="s">
        <v>116</v>
      </c>
      <c r="F1007" t="s">
        <v>117</v>
      </c>
      <c r="H1007" t="s">
        <v>306</v>
      </c>
      <c r="I1007" t="str">
        <f>"101050002023049"</f>
        <v>101050002023049</v>
      </c>
      <c r="J1007" t="str">
        <f t="shared" si="205"/>
        <v>515120</v>
      </c>
      <c r="K1007" t="s">
        <v>2</v>
      </c>
      <c r="L1007">
        <v>49</v>
      </c>
      <c r="M1007">
        <v>49</v>
      </c>
      <c r="N1007">
        <v>0</v>
      </c>
      <c r="O1007" s="1">
        <v>45583.356064814812</v>
      </c>
      <c r="P1007" t="s">
        <v>138</v>
      </c>
    </row>
    <row r="1008" spans="1:16" x14ac:dyDescent="0.3">
      <c r="A1008" t="s">
        <v>25</v>
      </c>
      <c r="B1008" s="1">
        <v>45583.356064814812</v>
      </c>
      <c r="C1008" t="str">
        <f t="shared" si="204"/>
        <v>41</v>
      </c>
      <c r="D1008" t="s">
        <v>120</v>
      </c>
      <c r="E1008" t="s">
        <v>116</v>
      </c>
      <c r="F1008" t="s">
        <v>117</v>
      </c>
      <c r="H1008" t="s">
        <v>306</v>
      </c>
      <c r="I1008" t="str">
        <f>"101050002023365"</f>
        <v>101050002023365</v>
      </c>
      <c r="J1008" t="str">
        <f t="shared" si="205"/>
        <v>515120</v>
      </c>
      <c r="K1008" t="s">
        <v>2</v>
      </c>
      <c r="L1008">
        <v>49</v>
      </c>
      <c r="M1008">
        <v>49</v>
      </c>
      <c r="N1008">
        <v>0</v>
      </c>
      <c r="O1008" s="1">
        <v>45583.356064814812</v>
      </c>
      <c r="P1008" t="s">
        <v>138</v>
      </c>
    </row>
    <row r="1009" spans="1:16" x14ac:dyDescent="0.3">
      <c r="A1009" t="s">
        <v>25</v>
      </c>
      <c r="B1009" s="1">
        <v>45583.356064814812</v>
      </c>
      <c r="C1009" t="str">
        <f t="shared" si="204"/>
        <v>41</v>
      </c>
      <c r="D1009" t="s">
        <v>120</v>
      </c>
      <c r="E1009" t="s">
        <v>116</v>
      </c>
      <c r="F1009" t="s">
        <v>117</v>
      </c>
      <c r="H1009" t="s">
        <v>306</v>
      </c>
      <c r="I1009" t="str">
        <f>"101050002022851"</f>
        <v>101050002022851</v>
      </c>
      <c r="J1009" t="str">
        <f t="shared" si="205"/>
        <v>515120</v>
      </c>
      <c r="K1009" t="s">
        <v>2</v>
      </c>
      <c r="L1009">
        <v>49</v>
      </c>
      <c r="M1009">
        <v>49</v>
      </c>
      <c r="N1009">
        <v>0</v>
      </c>
      <c r="O1009" s="1">
        <v>45583.356064814812</v>
      </c>
      <c r="P1009" t="s">
        <v>138</v>
      </c>
    </row>
    <row r="1010" spans="1:16" x14ac:dyDescent="0.3">
      <c r="A1010" t="s">
        <v>25</v>
      </c>
      <c r="B1010" s="1">
        <v>45583.356053240743</v>
      </c>
      <c r="C1010" t="str">
        <f t="shared" si="204"/>
        <v>41</v>
      </c>
      <c r="D1010" t="s">
        <v>120</v>
      </c>
      <c r="E1010" t="s">
        <v>116</v>
      </c>
      <c r="F1010" t="s">
        <v>117</v>
      </c>
      <c r="H1010" t="s">
        <v>306</v>
      </c>
      <c r="I1010" t="str">
        <f>"101050002023048"</f>
        <v>101050002023048</v>
      </c>
      <c r="J1010" t="str">
        <f t="shared" si="205"/>
        <v>515120</v>
      </c>
      <c r="K1010" t="s">
        <v>2</v>
      </c>
      <c r="L1010">
        <v>49</v>
      </c>
      <c r="M1010">
        <v>49</v>
      </c>
      <c r="N1010">
        <v>0</v>
      </c>
      <c r="O1010" s="1">
        <v>45583.356053240743</v>
      </c>
      <c r="P1010" t="s">
        <v>138</v>
      </c>
    </row>
    <row r="1011" spans="1:16" x14ac:dyDescent="0.3">
      <c r="A1011" t="s">
        <v>25</v>
      </c>
      <c r="B1011" s="1">
        <v>45583.356053240743</v>
      </c>
      <c r="C1011" t="str">
        <f t="shared" si="204"/>
        <v>41</v>
      </c>
      <c r="D1011" t="s">
        <v>120</v>
      </c>
      <c r="E1011" t="s">
        <v>116</v>
      </c>
      <c r="F1011" t="s">
        <v>117</v>
      </c>
      <c r="H1011" t="s">
        <v>306</v>
      </c>
      <c r="I1011" t="str">
        <f>"101050002023444"</f>
        <v>101050002023444</v>
      </c>
      <c r="J1011" t="str">
        <f t="shared" si="205"/>
        <v>515120</v>
      </c>
      <c r="K1011" t="s">
        <v>2</v>
      </c>
      <c r="L1011">
        <v>49</v>
      </c>
      <c r="M1011">
        <v>49</v>
      </c>
      <c r="N1011">
        <v>0</v>
      </c>
      <c r="O1011" s="1">
        <v>45583.356053240743</v>
      </c>
      <c r="P1011" t="s">
        <v>138</v>
      </c>
    </row>
    <row r="1012" spans="1:16" x14ac:dyDescent="0.3">
      <c r="A1012" t="s">
        <v>25</v>
      </c>
      <c r="B1012" s="1">
        <v>45583.356053240743</v>
      </c>
      <c r="C1012" t="str">
        <f t="shared" si="204"/>
        <v>41</v>
      </c>
      <c r="D1012" t="s">
        <v>120</v>
      </c>
      <c r="E1012" t="s">
        <v>116</v>
      </c>
      <c r="F1012" t="s">
        <v>117</v>
      </c>
      <c r="H1012" t="s">
        <v>306</v>
      </c>
      <c r="I1012" t="str">
        <f>"101050002022863"</f>
        <v>101050002022863</v>
      </c>
      <c r="J1012" t="str">
        <f t="shared" si="205"/>
        <v>515120</v>
      </c>
      <c r="K1012" t="s">
        <v>2</v>
      </c>
      <c r="L1012">
        <v>49</v>
      </c>
      <c r="M1012">
        <v>49</v>
      </c>
      <c r="N1012">
        <v>0</v>
      </c>
      <c r="O1012" s="1">
        <v>45583.356053240743</v>
      </c>
      <c r="P1012" t="s">
        <v>138</v>
      </c>
    </row>
    <row r="1013" spans="1:16" x14ac:dyDescent="0.3">
      <c r="A1013" t="s">
        <v>25</v>
      </c>
      <c r="B1013" s="1">
        <v>45583.35533564815</v>
      </c>
      <c r="C1013" t="str">
        <f>"38"</f>
        <v>38</v>
      </c>
      <c r="D1013" t="s">
        <v>115</v>
      </c>
      <c r="E1013" t="s">
        <v>116</v>
      </c>
      <c r="F1013" t="s">
        <v>117</v>
      </c>
      <c r="H1013" t="s">
        <v>307</v>
      </c>
      <c r="L1013">
        <v>0</v>
      </c>
      <c r="M1013">
        <v>0</v>
      </c>
      <c r="N1013">
        <v>0</v>
      </c>
      <c r="O1013" s="1">
        <v>45583.35533564815</v>
      </c>
      <c r="P1013" t="s">
        <v>138</v>
      </c>
    </row>
    <row r="1014" spans="1:16" x14ac:dyDescent="0.3">
      <c r="A1014" t="s">
        <v>25</v>
      </c>
      <c r="B1014" s="1">
        <v>45583.35533564815</v>
      </c>
      <c r="C1014" t="str">
        <f t="shared" ref="C1014:C1020" si="206">"41"</f>
        <v>41</v>
      </c>
      <c r="D1014" t="s">
        <v>120</v>
      </c>
      <c r="E1014" t="s">
        <v>116</v>
      </c>
      <c r="F1014" t="s">
        <v>117</v>
      </c>
      <c r="H1014" t="s">
        <v>307</v>
      </c>
      <c r="I1014" t="str">
        <f>"101050002026493"</f>
        <v>101050002026493</v>
      </c>
      <c r="J1014" t="str">
        <f t="shared" ref="J1014:J1020" si="207">"127802"</f>
        <v>127802</v>
      </c>
      <c r="K1014" t="s">
        <v>6</v>
      </c>
      <c r="L1014">
        <v>91</v>
      </c>
      <c r="M1014">
        <v>91</v>
      </c>
      <c r="N1014">
        <v>0</v>
      </c>
      <c r="O1014" s="1">
        <v>45583.35533564815</v>
      </c>
      <c r="P1014" t="s">
        <v>138</v>
      </c>
    </row>
    <row r="1015" spans="1:16" x14ac:dyDescent="0.3">
      <c r="A1015" t="s">
        <v>25</v>
      </c>
      <c r="B1015" s="1">
        <v>45583.35533564815</v>
      </c>
      <c r="C1015" t="str">
        <f t="shared" si="206"/>
        <v>41</v>
      </c>
      <c r="D1015" t="s">
        <v>120</v>
      </c>
      <c r="E1015" t="s">
        <v>116</v>
      </c>
      <c r="F1015" t="s">
        <v>117</v>
      </c>
      <c r="H1015" t="s">
        <v>307</v>
      </c>
      <c r="I1015" t="str">
        <f>"101620000466429"</f>
        <v>101620000466429</v>
      </c>
      <c r="J1015" t="str">
        <f t="shared" si="207"/>
        <v>127802</v>
      </c>
      <c r="K1015" t="s">
        <v>6</v>
      </c>
      <c r="L1015">
        <v>91</v>
      </c>
      <c r="M1015">
        <v>91</v>
      </c>
      <c r="N1015">
        <v>0</v>
      </c>
      <c r="O1015" s="1">
        <v>45583.35533564815</v>
      </c>
      <c r="P1015" t="s">
        <v>138</v>
      </c>
    </row>
    <row r="1016" spans="1:16" x14ac:dyDescent="0.3">
      <c r="A1016" t="s">
        <v>25</v>
      </c>
      <c r="B1016" s="1">
        <v>45583.35533564815</v>
      </c>
      <c r="C1016" t="str">
        <f t="shared" si="206"/>
        <v>41</v>
      </c>
      <c r="D1016" t="s">
        <v>120</v>
      </c>
      <c r="E1016" t="s">
        <v>116</v>
      </c>
      <c r="F1016" t="s">
        <v>117</v>
      </c>
      <c r="H1016" t="s">
        <v>307</v>
      </c>
      <c r="I1016" t="str">
        <f>"101620000466334"</f>
        <v>101620000466334</v>
      </c>
      <c r="J1016" t="str">
        <f t="shared" si="207"/>
        <v>127802</v>
      </c>
      <c r="K1016" t="s">
        <v>6</v>
      </c>
      <c r="L1016">
        <v>91</v>
      </c>
      <c r="M1016">
        <v>91</v>
      </c>
      <c r="N1016">
        <v>0</v>
      </c>
      <c r="O1016" s="1">
        <v>45583.35533564815</v>
      </c>
      <c r="P1016" t="s">
        <v>138</v>
      </c>
    </row>
    <row r="1017" spans="1:16" x14ac:dyDescent="0.3">
      <c r="A1017" t="s">
        <v>25</v>
      </c>
      <c r="B1017" s="1">
        <v>45583.35533564815</v>
      </c>
      <c r="C1017" t="str">
        <f t="shared" si="206"/>
        <v>41</v>
      </c>
      <c r="D1017" t="s">
        <v>120</v>
      </c>
      <c r="E1017" t="s">
        <v>116</v>
      </c>
      <c r="F1017" t="s">
        <v>117</v>
      </c>
      <c r="H1017" t="s">
        <v>307</v>
      </c>
      <c r="I1017" t="str">
        <f>"101620000466338"</f>
        <v>101620000466338</v>
      </c>
      <c r="J1017" t="str">
        <f t="shared" si="207"/>
        <v>127802</v>
      </c>
      <c r="K1017" t="s">
        <v>6</v>
      </c>
      <c r="L1017">
        <v>91</v>
      </c>
      <c r="M1017">
        <v>91</v>
      </c>
      <c r="N1017">
        <v>0</v>
      </c>
      <c r="O1017" s="1">
        <v>45583.35533564815</v>
      </c>
      <c r="P1017" t="s">
        <v>138</v>
      </c>
    </row>
    <row r="1018" spans="1:16" x14ac:dyDescent="0.3">
      <c r="A1018" t="s">
        <v>25</v>
      </c>
      <c r="B1018" s="1">
        <v>45583.355324074073</v>
      </c>
      <c r="C1018" t="str">
        <f t="shared" si="206"/>
        <v>41</v>
      </c>
      <c r="D1018" t="s">
        <v>120</v>
      </c>
      <c r="E1018" t="s">
        <v>116</v>
      </c>
      <c r="F1018" t="s">
        <v>117</v>
      </c>
      <c r="H1018" t="s">
        <v>307</v>
      </c>
      <c r="I1018" t="str">
        <f>"101620000466327"</f>
        <v>101620000466327</v>
      </c>
      <c r="J1018" t="str">
        <f t="shared" si="207"/>
        <v>127802</v>
      </c>
      <c r="K1018" t="s">
        <v>6</v>
      </c>
      <c r="L1018">
        <v>91</v>
      </c>
      <c r="M1018">
        <v>91</v>
      </c>
      <c r="N1018">
        <v>0</v>
      </c>
      <c r="O1018" s="1">
        <v>45583.355324074073</v>
      </c>
      <c r="P1018" t="s">
        <v>138</v>
      </c>
    </row>
    <row r="1019" spans="1:16" x14ac:dyDescent="0.3">
      <c r="A1019" t="s">
        <v>25</v>
      </c>
      <c r="B1019" s="1">
        <v>45583.355324074073</v>
      </c>
      <c r="C1019" t="str">
        <f t="shared" si="206"/>
        <v>41</v>
      </c>
      <c r="D1019" t="s">
        <v>120</v>
      </c>
      <c r="E1019" t="s">
        <v>116</v>
      </c>
      <c r="F1019" t="s">
        <v>117</v>
      </c>
      <c r="H1019" t="s">
        <v>307</v>
      </c>
      <c r="I1019" t="str">
        <f>"101050002015996"</f>
        <v>101050002015996</v>
      </c>
      <c r="J1019" t="str">
        <f t="shared" si="207"/>
        <v>127802</v>
      </c>
      <c r="K1019" t="s">
        <v>6</v>
      </c>
      <c r="L1019">
        <v>91</v>
      </c>
      <c r="M1019">
        <v>91</v>
      </c>
      <c r="N1019">
        <v>0</v>
      </c>
      <c r="O1019" s="1">
        <v>45583.355324074073</v>
      </c>
      <c r="P1019" t="s">
        <v>138</v>
      </c>
    </row>
    <row r="1020" spans="1:16" x14ac:dyDescent="0.3">
      <c r="A1020" t="s">
        <v>25</v>
      </c>
      <c r="B1020" s="1">
        <v>45583.355324074073</v>
      </c>
      <c r="C1020" t="str">
        <f t="shared" si="206"/>
        <v>41</v>
      </c>
      <c r="D1020" t="s">
        <v>120</v>
      </c>
      <c r="E1020" t="s">
        <v>116</v>
      </c>
      <c r="F1020" t="s">
        <v>117</v>
      </c>
      <c r="H1020" t="s">
        <v>307</v>
      </c>
      <c r="I1020" t="str">
        <f>"101050002015993"</f>
        <v>101050002015993</v>
      </c>
      <c r="J1020" t="str">
        <f t="shared" si="207"/>
        <v>127802</v>
      </c>
      <c r="K1020" t="s">
        <v>6</v>
      </c>
      <c r="L1020">
        <v>91</v>
      </c>
      <c r="M1020">
        <v>91</v>
      </c>
      <c r="N1020">
        <v>0</v>
      </c>
      <c r="O1020" s="1">
        <v>45583.355324074073</v>
      </c>
      <c r="P1020" t="s">
        <v>138</v>
      </c>
    </row>
    <row r="1021" spans="1:16" x14ac:dyDescent="0.3">
      <c r="A1021" t="s">
        <v>25</v>
      </c>
      <c r="B1021" s="1">
        <v>45583.354513888888</v>
      </c>
      <c r="C1021" t="str">
        <f>"38"</f>
        <v>38</v>
      </c>
      <c r="D1021" t="s">
        <v>115</v>
      </c>
      <c r="E1021" t="s">
        <v>116</v>
      </c>
      <c r="F1021" t="s">
        <v>117</v>
      </c>
      <c r="H1021" t="s">
        <v>308</v>
      </c>
      <c r="L1021">
        <v>0</v>
      </c>
      <c r="M1021">
        <v>0</v>
      </c>
      <c r="N1021">
        <v>0</v>
      </c>
      <c r="O1021" s="1">
        <v>45583.354513888888</v>
      </c>
      <c r="P1021" t="s">
        <v>122</v>
      </c>
    </row>
    <row r="1022" spans="1:16" x14ac:dyDescent="0.3">
      <c r="A1022" t="s">
        <v>25</v>
      </c>
      <c r="B1022" s="1">
        <v>45583.354513888888</v>
      </c>
      <c r="C1022" t="str">
        <f>"41"</f>
        <v>41</v>
      </c>
      <c r="D1022" t="s">
        <v>120</v>
      </c>
      <c r="E1022" t="s">
        <v>116</v>
      </c>
      <c r="F1022" t="s">
        <v>117</v>
      </c>
      <c r="H1022" t="s">
        <v>308</v>
      </c>
      <c r="I1022" t="str">
        <f>"101050001983318"</f>
        <v>101050001983318</v>
      </c>
      <c r="J1022" t="str">
        <f>"514480"</f>
        <v>514480</v>
      </c>
      <c r="K1022" t="s">
        <v>83</v>
      </c>
      <c r="L1022">
        <v>49</v>
      </c>
      <c r="M1022">
        <v>49</v>
      </c>
      <c r="N1022">
        <v>0</v>
      </c>
      <c r="O1022" s="1">
        <v>45583.354513888888</v>
      </c>
      <c r="P1022" t="s">
        <v>122</v>
      </c>
    </row>
    <row r="1023" spans="1:16" x14ac:dyDescent="0.3">
      <c r="A1023" t="s">
        <v>25</v>
      </c>
      <c r="B1023" s="1">
        <v>45583.354513888888</v>
      </c>
      <c r="C1023" t="str">
        <f>"41"</f>
        <v>41</v>
      </c>
      <c r="D1023" t="s">
        <v>120</v>
      </c>
      <c r="E1023" t="s">
        <v>116</v>
      </c>
      <c r="F1023" t="s">
        <v>117</v>
      </c>
      <c r="H1023" t="s">
        <v>308</v>
      </c>
      <c r="I1023" t="str">
        <f>"101050001983240"</f>
        <v>101050001983240</v>
      </c>
      <c r="J1023" t="str">
        <f>"514480"</f>
        <v>514480</v>
      </c>
      <c r="K1023" t="s">
        <v>83</v>
      </c>
      <c r="L1023">
        <v>49</v>
      </c>
      <c r="M1023">
        <v>49</v>
      </c>
      <c r="N1023">
        <v>0</v>
      </c>
      <c r="O1023" s="1">
        <v>45583.354513888888</v>
      </c>
      <c r="P1023" t="s">
        <v>122</v>
      </c>
    </row>
    <row r="1024" spans="1:16" x14ac:dyDescent="0.3">
      <c r="A1024" t="s">
        <v>25</v>
      </c>
      <c r="B1024" s="1">
        <v>45583.354456018518</v>
      </c>
      <c r="C1024" t="str">
        <f>"38"</f>
        <v>38</v>
      </c>
      <c r="D1024" t="s">
        <v>115</v>
      </c>
      <c r="E1024" t="s">
        <v>116</v>
      </c>
      <c r="F1024" t="s">
        <v>117</v>
      </c>
      <c r="H1024" t="s">
        <v>309</v>
      </c>
      <c r="L1024">
        <v>0</v>
      </c>
      <c r="M1024">
        <v>0</v>
      </c>
      <c r="N1024">
        <v>0</v>
      </c>
      <c r="O1024" s="1">
        <v>45583.354456018518</v>
      </c>
      <c r="P1024" t="s">
        <v>119</v>
      </c>
    </row>
    <row r="1025" spans="1:16" x14ac:dyDescent="0.3">
      <c r="A1025" t="s">
        <v>25</v>
      </c>
      <c r="B1025" s="1">
        <v>45583.354456018518</v>
      </c>
      <c r="C1025" t="str">
        <f>"41"</f>
        <v>41</v>
      </c>
      <c r="D1025" t="s">
        <v>120</v>
      </c>
      <c r="E1025" t="s">
        <v>116</v>
      </c>
      <c r="F1025" t="s">
        <v>117</v>
      </c>
      <c r="H1025" t="s">
        <v>309</v>
      </c>
      <c r="I1025" t="str">
        <f>"101050001989686"</f>
        <v>101050001989686</v>
      </c>
      <c r="J1025" t="str">
        <f>"124239"</f>
        <v>124239</v>
      </c>
      <c r="K1025" t="s">
        <v>32</v>
      </c>
      <c r="L1025">
        <v>91</v>
      </c>
      <c r="M1025">
        <v>91</v>
      </c>
      <c r="N1025">
        <v>0</v>
      </c>
      <c r="O1025" s="1">
        <v>45583.354456018518</v>
      </c>
      <c r="P1025" t="s">
        <v>119</v>
      </c>
    </row>
    <row r="1026" spans="1:16" x14ac:dyDescent="0.3">
      <c r="A1026" t="s">
        <v>25</v>
      </c>
      <c r="B1026" s="1">
        <v>45583.354456018518</v>
      </c>
      <c r="C1026" t="str">
        <f>"41"</f>
        <v>41</v>
      </c>
      <c r="D1026" t="s">
        <v>120</v>
      </c>
      <c r="E1026" t="s">
        <v>116</v>
      </c>
      <c r="F1026" t="s">
        <v>117</v>
      </c>
      <c r="H1026" t="s">
        <v>309</v>
      </c>
      <c r="I1026" t="str">
        <f>"101050001989581"</f>
        <v>101050001989581</v>
      </c>
      <c r="J1026" t="str">
        <f>"124239"</f>
        <v>124239</v>
      </c>
      <c r="K1026" t="s">
        <v>32</v>
      </c>
      <c r="L1026">
        <v>91</v>
      </c>
      <c r="M1026">
        <v>91</v>
      </c>
      <c r="N1026">
        <v>0</v>
      </c>
      <c r="O1026" s="1">
        <v>45583.354456018518</v>
      </c>
      <c r="P1026" t="s">
        <v>119</v>
      </c>
    </row>
    <row r="1027" spans="1:16" x14ac:dyDescent="0.3">
      <c r="A1027" t="s">
        <v>25</v>
      </c>
      <c r="B1027" s="1">
        <v>45583.354456018518</v>
      </c>
      <c r="C1027" t="str">
        <f>"41"</f>
        <v>41</v>
      </c>
      <c r="D1027" t="s">
        <v>120</v>
      </c>
      <c r="E1027" t="s">
        <v>116</v>
      </c>
      <c r="F1027" t="s">
        <v>117</v>
      </c>
      <c r="H1027" t="s">
        <v>309</v>
      </c>
      <c r="I1027" t="str">
        <f>"101050001879169"</f>
        <v>101050001879169</v>
      </c>
      <c r="J1027" t="str">
        <f>"124239"</f>
        <v>124239</v>
      </c>
      <c r="K1027" t="s">
        <v>32</v>
      </c>
      <c r="L1027">
        <v>91</v>
      </c>
      <c r="M1027">
        <v>91</v>
      </c>
      <c r="N1027">
        <v>0</v>
      </c>
      <c r="O1027" s="1">
        <v>45583.354456018518</v>
      </c>
      <c r="P1027" t="s">
        <v>119</v>
      </c>
    </row>
    <row r="1028" spans="1:16" x14ac:dyDescent="0.3">
      <c r="A1028" t="s">
        <v>25</v>
      </c>
      <c r="B1028" s="1">
        <v>45583.353009259263</v>
      </c>
      <c r="C1028" t="str">
        <f>"38"</f>
        <v>38</v>
      </c>
      <c r="D1028" t="s">
        <v>115</v>
      </c>
      <c r="E1028" t="s">
        <v>116</v>
      </c>
      <c r="F1028" t="s">
        <v>117</v>
      </c>
      <c r="H1028" t="s">
        <v>310</v>
      </c>
      <c r="L1028">
        <v>0</v>
      </c>
      <c r="M1028">
        <v>0</v>
      </c>
      <c r="N1028">
        <v>0</v>
      </c>
      <c r="O1028" s="1">
        <v>45583.353009259263</v>
      </c>
      <c r="P1028" t="s">
        <v>122</v>
      </c>
    </row>
    <row r="1029" spans="1:16" x14ac:dyDescent="0.3">
      <c r="A1029" t="s">
        <v>25</v>
      </c>
      <c r="B1029" s="1">
        <v>45583.353009259263</v>
      </c>
      <c r="C1029" t="str">
        <f t="shared" ref="C1029:C1035" si="208">"41"</f>
        <v>41</v>
      </c>
      <c r="D1029" t="s">
        <v>120</v>
      </c>
      <c r="E1029" t="s">
        <v>116</v>
      </c>
      <c r="F1029" t="s">
        <v>117</v>
      </c>
      <c r="H1029" t="s">
        <v>310</v>
      </c>
      <c r="I1029" t="str">
        <f>"101050002022561"</f>
        <v>101050002022561</v>
      </c>
      <c r="J1029" t="str">
        <f t="shared" ref="J1029:J1035" si="209">"127571"</f>
        <v>127571</v>
      </c>
      <c r="K1029" t="s">
        <v>5</v>
      </c>
      <c r="L1029">
        <v>91</v>
      </c>
      <c r="M1029">
        <v>91</v>
      </c>
      <c r="N1029">
        <v>0</v>
      </c>
      <c r="O1029" s="1">
        <v>45583.353009259263</v>
      </c>
      <c r="P1029" t="s">
        <v>122</v>
      </c>
    </row>
    <row r="1030" spans="1:16" x14ac:dyDescent="0.3">
      <c r="A1030" t="s">
        <v>25</v>
      </c>
      <c r="B1030" s="1">
        <v>45583.353009259263</v>
      </c>
      <c r="C1030" t="str">
        <f t="shared" si="208"/>
        <v>41</v>
      </c>
      <c r="D1030" t="s">
        <v>120</v>
      </c>
      <c r="E1030" t="s">
        <v>116</v>
      </c>
      <c r="F1030" t="s">
        <v>117</v>
      </c>
      <c r="H1030" t="s">
        <v>310</v>
      </c>
      <c r="I1030" t="str">
        <f>"101050002025516"</f>
        <v>101050002025516</v>
      </c>
      <c r="J1030" t="str">
        <f t="shared" si="209"/>
        <v>127571</v>
      </c>
      <c r="K1030" t="s">
        <v>5</v>
      </c>
      <c r="L1030">
        <v>91</v>
      </c>
      <c r="M1030">
        <v>91</v>
      </c>
      <c r="N1030">
        <v>0</v>
      </c>
      <c r="O1030" s="1">
        <v>45583.353009259263</v>
      </c>
      <c r="P1030" t="s">
        <v>122</v>
      </c>
    </row>
    <row r="1031" spans="1:16" x14ac:dyDescent="0.3">
      <c r="A1031" t="s">
        <v>25</v>
      </c>
      <c r="B1031" s="1">
        <v>45583.352997685186</v>
      </c>
      <c r="C1031" t="str">
        <f t="shared" si="208"/>
        <v>41</v>
      </c>
      <c r="D1031" t="s">
        <v>120</v>
      </c>
      <c r="E1031" t="s">
        <v>116</v>
      </c>
      <c r="F1031" t="s">
        <v>117</v>
      </c>
      <c r="H1031" t="s">
        <v>310</v>
      </c>
      <c r="I1031" t="str">
        <f>"101050002024791"</f>
        <v>101050002024791</v>
      </c>
      <c r="J1031" t="str">
        <f t="shared" si="209"/>
        <v>127571</v>
      </c>
      <c r="K1031" t="s">
        <v>5</v>
      </c>
      <c r="L1031">
        <v>91</v>
      </c>
      <c r="M1031">
        <v>91</v>
      </c>
      <c r="N1031">
        <v>0</v>
      </c>
      <c r="O1031" s="1">
        <v>45583.352997685186</v>
      </c>
      <c r="P1031" t="s">
        <v>122</v>
      </c>
    </row>
    <row r="1032" spans="1:16" x14ac:dyDescent="0.3">
      <c r="A1032" t="s">
        <v>25</v>
      </c>
      <c r="B1032" s="1">
        <v>45583.352997685186</v>
      </c>
      <c r="C1032" t="str">
        <f t="shared" si="208"/>
        <v>41</v>
      </c>
      <c r="D1032" t="s">
        <v>120</v>
      </c>
      <c r="E1032" t="s">
        <v>116</v>
      </c>
      <c r="F1032" t="s">
        <v>117</v>
      </c>
      <c r="H1032" t="s">
        <v>310</v>
      </c>
      <c r="I1032" t="str">
        <f>"101050002024575"</f>
        <v>101050002024575</v>
      </c>
      <c r="J1032" t="str">
        <f t="shared" si="209"/>
        <v>127571</v>
      </c>
      <c r="K1032" t="s">
        <v>5</v>
      </c>
      <c r="L1032">
        <v>91</v>
      </c>
      <c r="M1032">
        <v>91</v>
      </c>
      <c r="N1032">
        <v>0</v>
      </c>
      <c r="O1032" s="1">
        <v>45583.352997685186</v>
      </c>
      <c r="P1032" t="s">
        <v>122</v>
      </c>
    </row>
    <row r="1033" spans="1:16" x14ac:dyDescent="0.3">
      <c r="A1033" t="s">
        <v>25</v>
      </c>
      <c r="B1033" s="1">
        <v>45583.352997685186</v>
      </c>
      <c r="C1033" t="str">
        <f t="shared" si="208"/>
        <v>41</v>
      </c>
      <c r="D1033" t="s">
        <v>120</v>
      </c>
      <c r="E1033" t="s">
        <v>116</v>
      </c>
      <c r="F1033" t="s">
        <v>117</v>
      </c>
      <c r="H1033" t="s">
        <v>310</v>
      </c>
      <c r="I1033" t="str">
        <f>"101050002024096"</f>
        <v>101050002024096</v>
      </c>
      <c r="J1033" t="str">
        <f t="shared" si="209"/>
        <v>127571</v>
      </c>
      <c r="K1033" t="s">
        <v>5</v>
      </c>
      <c r="L1033">
        <v>91</v>
      </c>
      <c r="M1033">
        <v>91</v>
      </c>
      <c r="N1033">
        <v>0</v>
      </c>
      <c r="O1033" s="1">
        <v>45583.352997685186</v>
      </c>
      <c r="P1033" t="s">
        <v>122</v>
      </c>
    </row>
    <row r="1034" spans="1:16" x14ac:dyDescent="0.3">
      <c r="A1034" t="s">
        <v>25</v>
      </c>
      <c r="B1034" s="1">
        <v>45583.352997685186</v>
      </c>
      <c r="C1034" t="str">
        <f t="shared" si="208"/>
        <v>41</v>
      </c>
      <c r="D1034" t="s">
        <v>120</v>
      </c>
      <c r="E1034" t="s">
        <v>116</v>
      </c>
      <c r="F1034" t="s">
        <v>117</v>
      </c>
      <c r="H1034" t="s">
        <v>310</v>
      </c>
      <c r="I1034" t="str">
        <f>"101050002022592"</f>
        <v>101050002022592</v>
      </c>
      <c r="J1034" t="str">
        <f t="shared" si="209"/>
        <v>127571</v>
      </c>
      <c r="K1034" t="s">
        <v>5</v>
      </c>
      <c r="L1034">
        <v>91</v>
      </c>
      <c r="M1034">
        <v>91</v>
      </c>
      <c r="N1034">
        <v>0</v>
      </c>
      <c r="O1034" s="1">
        <v>45583.352997685186</v>
      </c>
      <c r="P1034" t="s">
        <v>122</v>
      </c>
    </row>
    <row r="1035" spans="1:16" x14ac:dyDescent="0.3">
      <c r="A1035" t="s">
        <v>25</v>
      </c>
      <c r="B1035" s="1">
        <v>45583.352997685186</v>
      </c>
      <c r="C1035" t="str">
        <f t="shared" si="208"/>
        <v>41</v>
      </c>
      <c r="D1035" t="s">
        <v>120</v>
      </c>
      <c r="E1035" t="s">
        <v>116</v>
      </c>
      <c r="F1035" t="s">
        <v>117</v>
      </c>
      <c r="H1035" t="s">
        <v>310</v>
      </c>
      <c r="I1035" t="str">
        <f>"101050002022482"</f>
        <v>101050002022482</v>
      </c>
      <c r="J1035" t="str">
        <f t="shared" si="209"/>
        <v>127571</v>
      </c>
      <c r="K1035" t="s">
        <v>5</v>
      </c>
      <c r="L1035">
        <v>91</v>
      </c>
      <c r="M1035">
        <v>91</v>
      </c>
      <c r="N1035">
        <v>0</v>
      </c>
      <c r="O1035" s="1">
        <v>45583.352997685186</v>
      </c>
      <c r="P1035" t="s">
        <v>122</v>
      </c>
    </row>
    <row r="1036" spans="1:16" x14ac:dyDescent="0.3">
      <c r="A1036" t="s">
        <v>25</v>
      </c>
      <c r="B1036" s="1">
        <v>45583.35125</v>
      </c>
      <c r="C1036" t="str">
        <f>"38"</f>
        <v>38</v>
      </c>
      <c r="D1036" t="s">
        <v>115</v>
      </c>
      <c r="E1036" t="s">
        <v>116</v>
      </c>
      <c r="F1036" t="s">
        <v>117</v>
      </c>
      <c r="H1036" t="s">
        <v>311</v>
      </c>
      <c r="L1036">
        <v>0</v>
      </c>
      <c r="M1036">
        <v>0</v>
      </c>
      <c r="N1036">
        <v>0</v>
      </c>
      <c r="O1036" s="1">
        <v>45583.35125</v>
      </c>
      <c r="P1036" t="s">
        <v>119</v>
      </c>
    </row>
    <row r="1037" spans="1:16" x14ac:dyDescent="0.3">
      <c r="A1037" t="s">
        <v>25</v>
      </c>
      <c r="B1037" s="1">
        <v>45583.35125</v>
      </c>
      <c r="C1037" t="str">
        <f t="shared" ref="C1037:C1043" si="210">"41"</f>
        <v>41</v>
      </c>
      <c r="D1037" t="s">
        <v>120</v>
      </c>
      <c r="E1037" t="s">
        <v>116</v>
      </c>
      <c r="F1037" t="s">
        <v>117</v>
      </c>
      <c r="H1037" t="s">
        <v>311</v>
      </c>
      <c r="I1037" t="str">
        <f>"101050002023713"</f>
        <v>101050002023713</v>
      </c>
      <c r="J1037" t="str">
        <f t="shared" ref="J1037:J1043" si="211">"515120"</f>
        <v>515120</v>
      </c>
      <c r="K1037" t="s">
        <v>2</v>
      </c>
      <c r="L1037">
        <v>49</v>
      </c>
      <c r="M1037">
        <v>49</v>
      </c>
      <c r="N1037">
        <v>0</v>
      </c>
      <c r="O1037" s="1">
        <v>45583.35125</v>
      </c>
      <c r="P1037" t="s">
        <v>119</v>
      </c>
    </row>
    <row r="1038" spans="1:16" x14ac:dyDescent="0.3">
      <c r="A1038" t="s">
        <v>25</v>
      </c>
      <c r="B1038" s="1">
        <v>45583.35125</v>
      </c>
      <c r="C1038" t="str">
        <f t="shared" si="210"/>
        <v>41</v>
      </c>
      <c r="D1038" t="s">
        <v>120</v>
      </c>
      <c r="E1038" t="s">
        <v>116</v>
      </c>
      <c r="F1038" t="s">
        <v>117</v>
      </c>
      <c r="H1038" t="s">
        <v>311</v>
      </c>
      <c r="I1038" t="str">
        <f>"101050002023680"</f>
        <v>101050002023680</v>
      </c>
      <c r="J1038" t="str">
        <f t="shared" si="211"/>
        <v>515120</v>
      </c>
      <c r="K1038" t="s">
        <v>2</v>
      </c>
      <c r="L1038">
        <v>49</v>
      </c>
      <c r="M1038">
        <v>49</v>
      </c>
      <c r="N1038">
        <v>0</v>
      </c>
      <c r="O1038" s="1">
        <v>45583.35125</v>
      </c>
      <c r="P1038" t="s">
        <v>119</v>
      </c>
    </row>
    <row r="1039" spans="1:16" x14ac:dyDescent="0.3">
      <c r="A1039" t="s">
        <v>25</v>
      </c>
      <c r="B1039" s="1">
        <v>45583.35125</v>
      </c>
      <c r="C1039" t="str">
        <f t="shared" si="210"/>
        <v>41</v>
      </c>
      <c r="D1039" t="s">
        <v>120</v>
      </c>
      <c r="E1039" t="s">
        <v>116</v>
      </c>
      <c r="F1039" t="s">
        <v>117</v>
      </c>
      <c r="H1039" t="s">
        <v>311</v>
      </c>
      <c r="I1039" t="str">
        <f>"101050002023682"</f>
        <v>101050002023682</v>
      </c>
      <c r="J1039" t="str">
        <f t="shared" si="211"/>
        <v>515120</v>
      </c>
      <c r="K1039" t="s">
        <v>2</v>
      </c>
      <c r="L1039">
        <v>49</v>
      </c>
      <c r="M1039">
        <v>49</v>
      </c>
      <c r="N1039">
        <v>0</v>
      </c>
      <c r="O1039" s="1">
        <v>45583.35125</v>
      </c>
      <c r="P1039" t="s">
        <v>119</v>
      </c>
    </row>
    <row r="1040" spans="1:16" x14ac:dyDescent="0.3">
      <c r="A1040" t="s">
        <v>25</v>
      </c>
      <c r="B1040" s="1">
        <v>45583.351238425923</v>
      </c>
      <c r="C1040" t="str">
        <f t="shared" si="210"/>
        <v>41</v>
      </c>
      <c r="D1040" t="s">
        <v>120</v>
      </c>
      <c r="E1040" t="s">
        <v>116</v>
      </c>
      <c r="F1040" t="s">
        <v>117</v>
      </c>
      <c r="H1040" t="s">
        <v>311</v>
      </c>
      <c r="I1040" t="str">
        <f>"101050002023701"</f>
        <v>101050002023701</v>
      </c>
      <c r="J1040" t="str">
        <f t="shared" si="211"/>
        <v>515120</v>
      </c>
      <c r="K1040" t="s">
        <v>2</v>
      </c>
      <c r="L1040">
        <v>49</v>
      </c>
      <c r="M1040">
        <v>49</v>
      </c>
      <c r="N1040">
        <v>0</v>
      </c>
      <c r="O1040" s="1">
        <v>45583.351238425923</v>
      </c>
      <c r="P1040" t="s">
        <v>119</v>
      </c>
    </row>
    <row r="1041" spans="1:16" x14ac:dyDescent="0.3">
      <c r="A1041" t="s">
        <v>25</v>
      </c>
      <c r="B1041" s="1">
        <v>45583.351238425923</v>
      </c>
      <c r="C1041" t="str">
        <f t="shared" si="210"/>
        <v>41</v>
      </c>
      <c r="D1041" t="s">
        <v>120</v>
      </c>
      <c r="E1041" t="s">
        <v>116</v>
      </c>
      <c r="F1041" t="s">
        <v>117</v>
      </c>
      <c r="H1041" t="s">
        <v>311</v>
      </c>
      <c r="I1041" t="str">
        <f>"101050002023758"</f>
        <v>101050002023758</v>
      </c>
      <c r="J1041" t="str">
        <f t="shared" si="211"/>
        <v>515120</v>
      </c>
      <c r="K1041" t="s">
        <v>2</v>
      </c>
      <c r="L1041">
        <v>49</v>
      </c>
      <c r="M1041">
        <v>49</v>
      </c>
      <c r="N1041">
        <v>0</v>
      </c>
      <c r="O1041" s="1">
        <v>45583.351238425923</v>
      </c>
      <c r="P1041" t="s">
        <v>119</v>
      </c>
    </row>
    <row r="1042" spans="1:16" x14ac:dyDescent="0.3">
      <c r="A1042" t="s">
        <v>25</v>
      </c>
      <c r="B1042" s="1">
        <v>45583.351238425923</v>
      </c>
      <c r="C1042" t="str">
        <f t="shared" si="210"/>
        <v>41</v>
      </c>
      <c r="D1042" t="s">
        <v>120</v>
      </c>
      <c r="E1042" t="s">
        <v>116</v>
      </c>
      <c r="F1042" t="s">
        <v>117</v>
      </c>
      <c r="H1042" t="s">
        <v>311</v>
      </c>
      <c r="I1042" t="str">
        <f>"101050002023559"</f>
        <v>101050002023559</v>
      </c>
      <c r="J1042" t="str">
        <f t="shared" si="211"/>
        <v>515120</v>
      </c>
      <c r="K1042" t="s">
        <v>2</v>
      </c>
      <c r="L1042">
        <v>49</v>
      </c>
      <c r="M1042">
        <v>49</v>
      </c>
      <c r="N1042">
        <v>0</v>
      </c>
      <c r="O1042" s="1">
        <v>45583.351238425923</v>
      </c>
      <c r="P1042" t="s">
        <v>119</v>
      </c>
    </row>
    <row r="1043" spans="1:16" x14ac:dyDescent="0.3">
      <c r="A1043" t="s">
        <v>25</v>
      </c>
      <c r="B1043" s="1">
        <v>45583.351238425923</v>
      </c>
      <c r="C1043" t="str">
        <f t="shared" si="210"/>
        <v>41</v>
      </c>
      <c r="D1043" t="s">
        <v>120</v>
      </c>
      <c r="E1043" t="s">
        <v>116</v>
      </c>
      <c r="F1043" t="s">
        <v>117</v>
      </c>
      <c r="H1043" t="s">
        <v>311</v>
      </c>
      <c r="I1043" t="str">
        <f>"101050002023558"</f>
        <v>101050002023558</v>
      </c>
      <c r="J1043" t="str">
        <f t="shared" si="211"/>
        <v>515120</v>
      </c>
      <c r="K1043" t="s">
        <v>2</v>
      </c>
      <c r="L1043">
        <v>49</v>
      </c>
      <c r="M1043">
        <v>49</v>
      </c>
      <c r="N1043">
        <v>0</v>
      </c>
      <c r="O1043" s="1">
        <v>45583.351238425923</v>
      </c>
      <c r="P1043" t="s">
        <v>119</v>
      </c>
    </row>
    <row r="1044" spans="1:16" x14ac:dyDescent="0.3">
      <c r="A1044" t="s">
        <v>25</v>
      </c>
      <c r="B1044" s="1">
        <v>45583.351620370369</v>
      </c>
      <c r="C1044" t="str">
        <f>"38"</f>
        <v>38</v>
      </c>
      <c r="D1044" t="s">
        <v>115</v>
      </c>
      <c r="E1044" t="s">
        <v>116</v>
      </c>
      <c r="F1044" t="s">
        <v>117</v>
      </c>
      <c r="H1044" t="s">
        <v>312</v>
      </c>
      <c r="L1044">
        <v>0</v>
      </c>
      <c r="M1044">
        <v>0</v>
      </c>
      <c r="N1044">
        <v>0</v>
      </c>
      <c r="O1044" s="1">
        <v>45583.351620370369</v>
      </c>
      <c r="P1044" t="s">
        <v>125</v>
      </c>
    </row>
    <row r="1045" spans="1:16" x14ac:dyDescent="0.3">
      <c r="A1045" t="s">
        <v>25</v>
      </c>
      <c r="B1045" s="1">
        <v>45583.351620370369</v>
      </c>
      <c r="C1045" t="str">
        <f t="shared" ref="C1045:C1051" si="212">"41"</f>
        <v>41</v>
      </c>
      <c r="D1045" t="s">
        <v>120</v>
      </c>
      <c r="E1045" t="s">
        <v>116</v>
      </c>
      <c r="F1045" t="s">
        <v>117</v>
      </c>
      <c r="H1045" t="s">
        <v>312</v>
      </c>
      <c r="I1045" t="str">
        <f>"101050002015822"</f>
        <v>101050002015822</v>
      </c>
      <c r="J1045" t="str">
        <f t="shared" ref="J1045:J1051" si="213">"127802"</f>
        <v>127802</v>
      </c>
      <c r="K1045" t="s">
        <v>6</v>
      </c>
      <c r="L1045">
        <v>91</v>
      </c>
      <c r="M1045">
        <v>91</v>
      </c>
      <c r="N1045">
        <v>0</v>
      </c>
      <c r="O1045" s="1">
        <v>45583.351620370369</v>
      </c>
      <c r="P1045" t="s">
        <v>125</v>
      </c>
    </row>
    <row r="1046" spans="1:16" x14ac:dyDescent="0.3">
      <c r="A1046" t="s">
        <v>25</v>
      </c>
      <c r="B1046" s="1">
        <v>45583.351620370369</v>
      </c>
      <c r="C1046" t="str">
        <f t="shared" si="212"/>
        <v>41</v>
      </c>
      <c r="D1046" t="s">
        <v>120</v>
      </c>
      <c r="E1046" t="s">
        <v>116</v>
      </c>
      <c r="F1046" t="s">
        <v>117</v>
      </c>
      <c r="H1046" t="s">
        <v>312</v>
      </c>
      <c r="I1046" t="str">
        <f>"101050002024457"</f>
        <v>101050002024457</v>
      </c>
      <c r="J1046" t="str">
        <f t="shared" si="213"/>
        <v>127802</v>
      </c>
      <c r="K1046" t="s">
        <v>6</v>
      </c>
      <c r="L1046">
        <v>91</v>
      </c>
      <c r="M1046">
        <v>91</v>
      </c>
      <c r="N1046">
        <v>0</v>
      </c>
      <c r="O1046" s="1">
        <v>45583.351620370369</v>
      </c>
      <c r="P1046" t="s">
        <v>125</v>
      </c>
    </row>
    <row r="1047" spans="1:16" x14ac:dyDescent="0.3">
      <c r="A1047" t="s">
        <v>25</v>
      </c>
      <c r="B1047" s="1">
        <v>45583.3516087963</v>
      </c>
      <c r="C1047" t="str">
        <f t="shared" si="212"/>
        <v>41</v>
      </c>
      <c r="D1047" t="s">
        <v>120</v>
      </c>
      <c r="E1047" t="s">
        <v>116</v>
      </c>
      <c r="F1047" t="s">
        <v>117</v>
      </c>
      <c r="H1047" t="s">
        <v>312</v>
      </c>
      <c r="I1047" t="str">
        <f>"101050002020946"</f>
        <v>101050002020946</v>
      </c>
      <c r="J1047" t="str">
        <f t="shared" si="213"/>
        <v>127802</v>
      </c>
      <c r="K1047" t="s">
        <v>6</v>
      </c>
      <c r="L1047">
        <v>91</v>
      </c>
      <c r="M1047">
        <v>91</v>
      </c>
      <c r="N1047">
        <v>0</v>
      </c>
      <c r="O1047" s="1">
        <v>45583.3516087963</v>
      </c>
      <c r="P1047" t="s">
        <v>125</v>
      </c>
    </row>
    <row r="1048" spans="1:16" x14ac:dyDescent="0.3">
      <c r="A1048" t="s">
        <v>25</v>
      </c>
      <c r="B1048" s="1">
        <v>45583.3516087963</v>
      </c>
      <c r="C1048" t="str">
        <f t="shared" si="212"/>
        <v>41</v>
      </c>
      <c r="D1048" t="s">
        <v>120</v>
      </c>
      <c r="E1048" t="s">
        <v>116</v>
      </c>
      <c r="F1048" t="s">
        <v>117</v>
      </c>
      <c r="H1048" t="s">
        <v>312</v>
      </c>
      <c r="I1048" t="str">
        <f>"101050002020944"</f>
        <v>101050002020944</v>
      </c>
      <c r="J1048" t="str">
        <f t="shared" si="213"/>
        <v>127802</v>
      </c>
      <c r="K1048" t="s">
        <v>6</v>
      </c>
      <c r="L1048">
        <v>91</v>
      </c>
      <c r="M1048">
        <v>91</v>
      </c>
      <c r="N1048">
        <v>0</v>
      </c>
      <c r="O1048" s="1">
        <v>45583.3516087963</v>
      </c>
      <c r="P1048" t="s">
        <v>125</v>
      </c>
    </row>
    <row r="1049" spans="1:16" x14ac:dyDescent="0.3">
      <c r="A1049" t="s">
        <v>25</v>
      </c>
      <c r="B1049" s="1">
        <v>45583.3516087963</v>
      </c>
      <c r="C1049" t="str">
        <f t="shared" si="212"/>
        <v>41</v>
      </c>
      <c r="D1049" t="s">
        <v>120</v>
      </c>
      <c r="E1049" t="s">
        <v>116</v>
      </c>
      <c r="F1049" t="s">
        <v>117</v>
      </c>
      <c r="H1049" t="s">
        <v>312</v>
      </c>
      <c r="I1049" t="str">
        <f>"101050002021050"</f>
        <v>101050002021050</v>
      </c>
      <c r="J1049" t="str">
        <f t="shared" si="213"/>
        <v>127802</v>
      </c>
      <c r="K1049" t="s">
        <v>6</v>
      </c>
      <c r="L1049">
        <v>91</v>
      </c>
      <c r="M1049">
        <v>91</v>
      </c>
      <c r="N1049">
        <v>0</v>
      </c>
      <c r="O1049" s="1">
        <v>45583.3516087963</v>
      </c>
      <c r="P1049" t="s">
        <v>125</v>
      </c>
    </row>
    <row r="1050" spans="1:16" x14ac:dyDescent="0.3">
      <c r="A1050" t="s">
        <v>25</v>
      </c>
      <c r="B1050" s="1">
        <v>45583.3516087963</v>
      </c>
      <c r="C1050" t="str">
        <f t="shared" si="212"/>
        <v>41</v>
      </c>
      <c r="D1050" t="s">
        <v>120</v>
      </c>
      <c r="E1050" t="s">
        <v>116</v>
      </c>
      <c r="F1050" t="s">
        <v>117</v>
      </c>
      <c r="H1050" t="s">
        <v>312</v>
      </c>
      <c r="I1050" t="str">
        <f>"101050002015823"</f>
        <v>101050002015823</v>
      </c>
      <c r="J1050" t="str">
        <f t="shared" si="213"/>
        <v>127802</v>
      </c>
      <c r="K1050" t="s">
        <v>6</v>
      </c>
      <c r="L1050">
        <v>91</v>
      </c>
      <c r="M1050">
        <v>91</v>
      </c>
      <c r="N1050">
        <v>0</v>
      </c>
      <c r="O1050" s="1">
        <v>45583.3516087963</v>
      </c>
      <c r="P1050" t="s">
        <v>125</v>
      </c>
    </row>
    <row r="1051" spans="1:16" x14ac:dyDescent="0.3">
      <c r="A1051" t="s">
        <v>25</v>
      </c>
      <c r="B1051" s="1">
        <v>45583.3516087963</v>
      </c>
      <c r="C1051" t="str">
        <f t="shared" si="212"/>
        <v>41</v>
      </c>
      <c r="D1051" t="s">
        <v>120</v>
      </c>
      <c r="E1051" t="s">
        <v>116</v>
      </c>
      <c r="F1051" t="s">
        <v>117</v>
      </c>
      <c r="H1051" t="s">
        <v>312</v>
      </c>
      <c r="I1051" t="str">
        <f>"101050002015824"</f>
        <v>101050002015824</v>
      </c>
      <c r="J1051" t="str">
        <f t="shared" si="213"/>
        <v>127802</v>
      </c>
      <c r="K1051" t="s">
        <v>6</v>
      </c>
      <c r="L1051">
        <v>91</v>
      </c>
      <c r="M1051">
        <v>91</v>
      </c>
      <c r="N1051">
        <v>0</v>
      </c>
      <c r="O1051" s="1">
        <v>45583.3516087963</v>
      </c>
      <c r="P1051" t="s">
        <v>125</v>
      </c>
    </row>
    <row r="1052" spans="1:16" x14ac:dyDescent="0.3">
      <c r="A1052" t="s">
        <v>25</v>
      </c>
      <c r="B1052" s="1">
        <v>45583.350868055553</v>
      </c>
      <c r="C1052" t="str">
        <f>"38"</f>
        <v>38</v>
      </c>
      <c r="D1052" t="s">
        <v>115</v>
      </c>
      <c r="E1052" t="s">
        <v>116</v>
      </c>
      <c r="F1052" t="s">
        <v>117</v>
      </c>
      <c r="H1052" t="s">
        <v>313</v>
      </c>
      <c r="L1052">
        <v>0</v>
      </c>
      <c r="M1052">
        <v>0</v>
      </c>
      <c r="N1052">
        <v>0</v>
      </c>
      <c r="O1052" s="1">
        <v>45583.350868055553</v>
      </c>
      <c r="P1052" t="s">
        <v>125</v>
      </c>
    </row>
    <row r="1053" spans="1:16" x14ac:dyDescent="0.3">
      <c r="A1053" t="s">
        <v>25</v>
      </c>
      <c r="B1053" s="1">
        <v>45583.350868055553</v>
      </c>
      <c r="C1053" t="str">
        <f>"41"</f>
        <v>41</v>
      </c>
      <c r="D1053" t="s">
        <v>120</v>
      </c>
      <c r="E1053" t="s">
        <v>116</v>
      </c>
      <c r="F1053" t="s">
        <v>117</v>
      </c>
      <c r="H1053" t="s">
        <v>313</v>
      </c>
      <c r="I1053" t="str">
        <f>"101050002022748"</f>
        <v>101050002022748</v>
      </c>
      <c r="J1053" t="str">
        <f>"127577"</f>
        <v>127577</v>
      </c>
      <c r="K1053" t="s">
        <v>62</v>
      </c>
      <c r="L1053">
        <v>91</v>
      </c>
      <c r="M1053">
        <v>91</v>
      </c>
      <c r="N1053">
        <v>0</v>
      </c>
      <c r="O1053" s="1">
        <v>45583.350868055553</v>
      </c>
      <c r="P1053" t="s">
        <v>125</v>
      </c>
    </row>
    <row r="1054" spans="1:16" x14ac:dyDescent="0.3">
      <c r="A1054" t="s">
        <v>25</v>
      </c>
      <c r="B1054" s="1">
        <v>45583.350856481484</v>
      </c>
      <c r="C1054" t="str">
        <f>"41"</f>
        <v>41</v>
      </c>
      <c r="D1054" t="s">
        <v>120</v>
      </c>
      <c r="E1054" t="s">
        <v>116</v>
      </c>
      <c r="F1054" t="s">
        <v>117</v>
      </c>
      <c r="H1054" t="s">
        <v>313</v>
      </c>
      <c r="I1054" t="str">
        <f>"101050002021865"</f>
        <v>101050002021865</v>
      </c>
      <c r="J1054" t="str">
        <f>"127577"</f>
        <v>127577</v>
      </c>
      <c r="K1054" t="s">
        <v>62</v>
      </c>
      <c r="L1054">
        <v>91</v>
      </c>
      <c r="M1054">
        <v>91</v>
      </c>
      <c r="N1054">
        <v>0</v>
      </c>
      <c r="O1054" s="1">
        <v>45583.350856481484</v>
      </c>
      <c r="P1054" t="s">
        <v>125</v>
      </c>
    </row>
    <row r="1055" spans="1:16" x14ac:dyDescent="0.3">
      <c r="A1055" t="s">
        <v>25</v>
      </c>
      <c r="B1055" s="1">
        <v>45583.351111111115</v>
      </c>
      <c r="C1055" t="str">
        <f>"38"</f>
        <v>38</v>
      </c>
      <c r="D1055" t="s">
        <v>115</v>
      </c>
      <c r="E1055" t="s">
        <v>116</v>
      </c>
      <c r="F1055" t="s">
        <v>117</v>
      </c>
      <c r="H1055" t="s">
        <v>314</v>
      </c>
      <c r="L1055">
        <v>0</v>
      </c>
      <c r="M1055">
        <v>0</v>
      </c>
      <c r="N1055">
        <v>0</v>
      </c>
      <c r="O1055" s="1">
        <v>45583.351111111115</v>
      </c>
      <c r="P1055" t="s">
        <v>122</v>
      </c>
    </row>
    <row r="1056" spans="1:16" x14ac:dyDescent="0.3">
      <c r="A1056" t="s">
        <v>25</v>
      </c>
      <c r="B1056" s="1">
        <v>45583.351099537038</v>
      </c>
      <c r="C1056" t="str">
        <f t="shared" ref="C1056:C1062" si="214">"41"</f>
        <v>41</v>
      </c>
      <c r="D1056" t="s">
        <v>120</v>
      </c>
      <c r="E1056" t="s">
        <v>116</v>
      </c>
      <c r="F1056" t="s">
        <v>117</v>
      </c>
      <c r="H1056" t="s">
        <v>314</v>
      </c>
      <c r="I1056" t="str">
        <f>"101050002027228"</f>
        <v>101050002027228</v>
      </c>
      <c r="J1056" t="str">
        <f t="shared" ref="J1056:J1062" si="215">"127571"</f>
        <v>127571</v>
      </c>
      <c r="K1056" t="s">
        <v>5</v>
      </c>
      <c r="L1056">
        <v>91</v>
      </c>
      <c r="M1056">
        <v>91</v>
      </c>
      <c r="N1056">
        <v>0</v>
      </c>
      <c r="O1056" s="1">
        <v>45583.351099537038</v>
      </c>
      <c r="P1056" t="s">
        <v>122</v>
      </c>
    </row>
    <row r="1057" spans="1:16" x14ac:dyDescent="0.3">
      <c r="A1057" t="s">
        <v>25</v>
      </c>
      <c r="B1057" s="1">
        <v>45583.351099537038</v>
      </c>
      <c r="C1057" t="str">
        <f t="shared" si="214"/>
        <v>41</v>
      </c>
      <c r="D1057" t="s">
        <v>120</v>
      </c>
      <c r="E1057" t="s">
        <v>116</v>
      </c>
      <c r="F1057" t="s">
        <v>117</v>
      </c>
      <c r="H1057" t="s">
        <v>314</v>
      </c>
      <c r="I1057" t="str">
        <f>"101050002024429"</f>
        <v>101050002024429</v>
      </c>
      <c r="J1057" t="str">
        <f t="shared" si="215"/>
        <v>127571</v>
      </c>
      <c r="K1057" t="s">
        <v>5</v>
      </c>
      <c r="L1057">
        <v>91</v>
      </c>
      <c r="M1057">
        <v>91</v>
      </c>
      <c r="N1057">
        <v>0</v>
      </c>
      <c r="O1057" s="1">
        <v>45583.351099537038</v>
      </c>
      <c r="P1057" t="s">
        <v>122</v>
      </c>
    </row>
    <row r="1058" spans="1:16" x14ac:dyDescent="0.3">
      <c r="A1058" t="s">
        <v>25</v>
      </c>
      <c r="B1058" s="1">
        <v>45583.351099537038</v>
      </c>
      <c r="C1058" t="str">
        <f t="shared" si="214"/>
        <v>41</v>
      </c>
      <c r="D1058" t="s">
        <v>120</v>
      </c>
      <c r="E1058" t="s">
        <v>116</v>
      </c>
      <c r="F1058" t="s">
        <v>117</v>
      </c>
      <c r="H1058" t="s">
        <v>314</v>
      </c>
      <c r="I1058" t="str">
        <f>"101050002024251"</f>
        <v>101050002024251</v>
      </c>
      <c r="J1058" t="str">
        <f t="shared" si="215"/>
        <v>127571</v>
      </c>
      <c r="K1058" t="s">
        <v>5</v>
      </c>
      <c r="L1058">
        <v>91</v>
      </c>
      <c r="M1058">
        <v>91</v>
      </c>
      <c r="N1058">
        <v>0</v>
      </c>
      <c r="O1058" s="1">
        <v>45583.351099537038</v>
      </c>
      <c r="P1058" t="s">
        <v>122</v>
      </c>
    </row>
    <row r="1059" spans="1:16" x14ac:dyDescent="0.3">
      <c r="A1059" t="s">
        <v>25</v>
      </c>
      <c r="B1059" s="1">
        <v>45583.351099537038</v>
      </c>
      <c r="C1059" t="str">
        <f t="shared" si="214"/>
        <v>41</v>
      </c>
      <c r="D1059" t="s">
        <v>120</v>
      </c>
      <c r="E1059" t="s">
        <v>116</v>
      </c>
      <c r="F1059" t="s">
        <v>117</v>
      </c>
      <c r="H1059" t="s">
        <v>314</v>
      </c>
      <c r="I1059" t="str">
        <f>"101050002024108"</f>
        <v>101050002024108</v>
      </c>
      <c r="J1059" t="str">
        <f t="shared" si="215"/>
        <v>127571</v>
      </c>
      <c r="K1059" t="s">
        <v>5</v>
      </c>
      <c r="L1059">
        <v>91</v>
      </c>
      <c r="M1059">
        <v>91</v>
      </c>
      <c r="N1059">
        <v>0</v>
      </c>
      <c r="O1059" s="1">
        <v>45583.351099537038</v>
      </c>
      <c r="P1059" t="s">
        <v>122</v>
      </c>
    </row>
    <row r="1060" spans="1:16" x14ac:dyDescent="0.3">
      <c r="A1060" t="s">
        <v>25</v>
      </c>
      <c r="B1060" s="1">
        <v>45583.351099537038</v>
      </c>
      <c r="C1060" t="str">
        <f t="shared" si="214"/>
        <v>41</v>
      </c>
      <c r="D1060" t="s">
        <v>120</v>
      </c>
      <c r="E1060" t="s">
        <v>116</v>
      </c>
      <c r="F1060" t="s">
        <v>117</v>
      </c>
      <c r="H1060" t="s">
        <v>314</v>
      </c>
      <c r="I1060" t="str">
        <f>"101050002023991"</f>
        <v>101050002023991</v>
      </c>
      <c r="J1060" t="str">
        <f t="shared" si="215"/>
        <v>127571</v>
      </c>
      <c r="K1060" t="s">
        <v>5</v>
      </c>
      <c r="L1060">
        <v>91</v>
      </c>
      <c r="M1060">
        <v>91</v>
      </c>
      <c r="N1060">
        <v>0</v>
      </c>
      <c r="O1060" s="1">
        <v>45583.351099537038</v>
      </c>
      <c r="P1060" t="s">
        <v>122</v>
      </c>
    </row>
    <row r="1061" spans="1:16" x14ac:dyDescent="0.3">
      <c r="A1061" t="s">
        <v>25</v>
      </c>
      <c r="B1061" s="1">
        <v>45583.351099537038</v>
      </c>
      <c r="C1061" t="str">
        <f t="shared" si="214"/>
        <v>41</v>
      </c>
      <c r="D1061" t="s">
        <v>120</v>
      </c>
      <c r="E1061" t="s">
        <v>116</v>
      </c>
      <c r="F1061" t="s">
        <v>117</v>
      </c>
      <c r="H1061" t="s">
        <v>314</v>
      </c>
      <c r="I1061" t="str">
        <f>"101050002023864"</f>
        <v>101050002023864</v>
      </c>
      <c r="J1061" t="str">
        <f t="shared" si="215"/>
        <v>127571</v>
      </c>
      <c r="K1061" t="s">
        <v>5</v>
      </c>
      <c r="L1061">
        <v>91</v>
      </c>
      <c r="M1061">
        <v>91</v>
      </c>
      <c r="N1061">
        <v>0</v>
      </c>
      <c r="O1061" s="1">
        <v>45583.351099537038</v>
      </c>
      <c r="P1061" t="s">
        <v>122</v>
      </c>
    </row>
    <row r="1062" spans="1:16" x14ac:dyDescent="0.3">
      <c r="A1062" t="s">
        <v>25</v>
      </c>
      <c r="B1062" s="1">
        <v>45583.351099537038</v>
      </c>
      <c r="C1062" t="str">
        <f t="shared" si="214"/>
        <v>41</v>
      </c>
      <c r="D1062" t="s">
        <v>120</v>
      </c>
      <c r="E1062" t="s">
        <v>116</v>
      </c>
      <c r="F1062" t="s">
        <v>117</v>
      </c>
      <c r="H1062" t="s">
        <v>314</v>
      </c>
      <c r="I1062" t="str">
        <f>"101050002022938"</f>
        <v>101050002022938</v>
      </c>
      <c r="J1062" t="str">
        <f t="shared" si="215"/>
        <v>127571</v>
      </c>
      <c r="K1062" t="s">
        <v>5</v>
      </c>
      <c r="L1062">
        <v>91</v>
      </c>
      <c r="M1062">
        <v>91</v>
      </c>
      <c r="N1062">
        <v>0</v>
      </c>
      <c r="O1062" s="1">
        <v>45583.351099537038</v>
      </c>
      <c r="P1062" t="s">
        <v>122</v>
      </c>
    </row>
    <row r="1063" spans="1:16" x14ac:dyDescent="0.3">
      <c r="A1063" t="s">
        <v>25</v>
      </c>
      <c r="B1063" s="1">
        <v>45583.349074074074</v>
      </c>
      <c r="C1063" t="str">
        <f>"38"</f>
        <v>38</v>
      </c>
      <c r="D1063" t="s">
        <v>115</v>
      </c>
      <c r="E1063" t="s">
        <v>116</v>
      </c>
      <c r="F1063" t="s">
        <v>117</v>
      </c>
      <c r="H1063" t="s">
        <v>315</v>
      </c>
      <c r="L1063">
        <v>0</v>
      </c>
      <c r="M1063">
        <v>0</v>
      </c>
      <c r="N1063">
        <v>0</v>
      </c>
      <c r="O1063" s="1">
        <v>45583.349074074074</v>
      </c>
      <c r="P1063" t="s">
        <v>132</v>
      </c>
    </row>
    <row r="1064" spans="1:16" x14ac:dyDescent="0.3">
      <c r="A1064" t="s">
        <v>25</v>
      </c>
      <c r="B1064" s="1">
        <v>45583.349074074074</v>
      </c>
      <c r="C1064" t="str">
        <f>"41"</f>
        <v>41</v>
      </c>
      <c r="D1064" t="s">
        <v>120</v>
      </c>
      <c r="E1064" t="s">
        <v>116</v>
      </c>
      <c r="F1064" t="s">
        <v>117</v>
      </c>
      <c r="H1064" t="s">
        <v>315</v>
      </c>
      <c r="I1064" t="str">
        <f>"101050002017619"</f>
        <v>101050002017619</v>
      </c>
      <c r="J1064" t="str">
        <f>"127802"</f>
        <v>127802</v>
      </c>
      <c r="K1064" t="s">
        <v>6</v>
      </c>
      <c r="L1064">
        <v>91</v>
      </c>
      <c r="M1064">
        <v>91</v>
      </c>
      <c r="N1064">
        <v>0</v>
      </c>
      <c r="O1064" s="1">
        <v>45583.349074074074</v>
      </c>
      <c r="P1064" t="s">
        <v>132</v>
      </c>
    </row>
    <row r="1065" spans="1:16" x14ac:dyDescent="0.3">
      <c r="A1065" t="s">
        <v>25</v>
      </c>
      <c r="B1065" s="1">
        <v>45583.348935185182</v>
      </c>
      <c r="C1065" t="str">
        <f>"38"</f>
        <v>38</v>
      </c>
      <c r="D1065" t="s">
        <v>115</v>
      </c>
      <c r="E1065" t="s">
        <v>116</v>
      </c>
      <c r="F1065" t="s">
        <v>117</v>
      </c>
      <c r="H1065" t="s">
        <v>316</v>
      </c>
      <c r="L1065">
        <v>0</v>
      </c>
      <c r="M1065">
        <v>0</v>
      </c>
      <c r="N1065">
        <v>0</v>
      </c>
      <c r="O1065" s="1">
        <v>45583.348935185182</v>
      </c>
      <c r="P1065" t="s">
        <v>132</v>
      </c>
    </row>
    <row r="1066" spans="1:16" x14ac:dyDescent="0.3">
      <c r="A1066" t="s">
        <v>25</v>
      </c>
      <c r="B1066" s="1">
        <v>45583.348935185182</v>
      </c>
      <c r="C1066" t="str">
        <f t="shared" ref="C1066:C1072" si="216">"41"</f>
        <v>41</v>
      </c>
      <c r="D1066" t="s">
        <v>120</v>
      </c>
      <c r="E1066" t="s">
        <v>116</v>
      </c>
      <c r="F1066" t="s">
        <v>117</v>
      </c>
      <c r="H1066" t="s">
        <v>316</v>
      </c>
      <c r="I1066" t="str">
        <f>"101050002025777"</f>
        <v>101050002025777</v>
      </c>
      <c r="J1066" t="str">
        <f t="shared" ref="J1066:J1072" si="217">"515120"</f>
        <v>515120</v>
      </c>
      <c r="K1066" t="s">
        <v>2</v>
      </c>
      <c r="L1066">
        <v>49</v>
      </c>
      <c r="M1066">
        <v>49</v>
      </c>
      <c r="N1066">
        <v>0</v>
      </c>
      <c r="O1066" s="1">
        <v>45583.348935185182</v>
      </c>
      <c r="P1066" t="s">
        <v>132</v>
      </c>
    </row>
    <row r="1067" spans="1:16" x14ac:dyDescent="0.3">
      <c r="A1067" t="s">
        <v>25</v>
      </c>
      <c r="B1067" s="1">
        <v>45583.348935185182</v>
      </c>
      <c r="C1067" t="str">
        <f t="shared" si="216"/>
        <v>41</v>
      </c>
      <c r="D1067" t="s">
        <v>120</v>
      </c>
      <c r="E1067" t="s">
        <v>116</v>
      </c>
      <c r="F1067" t="s">
        <v>117</v>
      </c>
      <c r="H1067" t="s">
        <v>316</v>
      </c>
      <c r="I1067" t="str">
        <f>"101050002025776"</f>
        <v>101050002025776</v>
      </c>
      <c r="J1067" t="str">
        <f t="shared" si="217"/>
        <v>515120</v>
      </c>
      <c r="K1067" t="s">
        <v>2</v>
      </c>
      <c r="L1067">
        <v>49</v>
      </c>
      <c r="M1067">
        <v>49</v>
      </c>
      <c r="N1067">
        <v>0</v>
      </c>
      <c r="O1067" s="1">
        <v>45583.348935185182</v>
      </c>
      <c r="P1067" t="s">
        <v>132</v>
      </c>
    </row>
    <row r="1068" spans="1:16" x14ac:dyDescent="0.3">
      <c r="A1068" t="s">
        <v>25</v>
      </c>
      <c r="B1068" s="1">
        <v>45583.348935185182</v>
      </c>
      <c r="C1068" t="str">
        <f t="shared" si="216"/>
        <v>41</v>
      </c>
      <c r="D1068" t="s">
        <v>120</v>
      </c>
      <c r="E1068" t="s">
        <v>116</v>
      </c>
      <c r="F1068" t="s">
        <v>117</v>
      </c>
      <c r="H1068" t="s">
        <v>316</v>
      </c>
      <c r="I1068" t="str">
        <f>"101050002025204"</f>
        <v>101050002025204</v>
      </c>
      <c r="J1068" t="str">
        <f t="shared" si="217"/>
        <v>515120</v>
      </c>
      <c r="K1068" t="s">
        <v>2</v>
      </c>
      <c r="L1068">
        <v>49</v>
      </c>
      <c r="M1068">
        <v>49</v>
      </c>
      <c r="N1068">
        <v>0</v>
      </c>
      <c r="O1068" s="1">
        <v>45583.348935185182</v>
      </c>
      <c r="P1068" t="s">
        <v>132</v>
      </c>
    </row>
    <row r="1069" spans="1:16" x14ac:dyDescent="0.3">
      <c r="A1069" t="s">
        <v>25</v>
      </c>
      <c r="B1069" s="1">
        <v>45583.348935185182</v>
      </c>
      <c r="C1069" t="str">
        <f t="shared" si="216"/>
        <v>41</v>
      </c>
      <c r="D1069" t="s">
        <v>120</v>
      </c>
      <c r="E1069" t="s">
        <v>116</v>
      </c>
      <c r="F1069" t="s">
        <v>117</v>
      </c>
      <c r="H1069" t="s">
        <v>316</v>
      </c>
      <c r="I1069" t="str">
        <f>"101050002025775"</f>
        <v>101050002025775</v>
      </c>
      <c r="J1069" t="str">
        <f t="shared" si="217"/>
        <v>515120</v>
      </c>
      <c r="K1069" t="s">
        <v>2</v>
      </c>
      <c r="L1069">
        <v>49</v>
      </c>
      <c r="M1069">
        <v>49</v>
      </c>
      <c r="N1069">
        <v>0</v>
      </c>
      <c r="O1069" s="1">
        <v>45583.348935185182</v>
      </c>
      <c r="P1069" t="s">
        <v>132</v>
      </c>
    </row>
    <row r="1070" spans="1:16" x14ac:dyDescent="0.3">
      <c r="A1070" t="s">
        <v>25</v>
      </c>
      <c r="B1070" s="1">
        <v>45583.348935185182</v>
      </c>
      <c r="C1070" t="str">
        <f t="shared" si="216"/>
        <v>41</v>
      </c>
      <c r="D1070" t="s">
        <v>120</v>
      </c>
      <c r="E1070" t="s">
        <v>116</v>
      </c>
      <c r="F1070" t="s">
        <v>117</v>
      </c>
      <c r="H1070" t="s">
        <v>316</v>
      </c>
      <c r="I1070" t="str">
        <f>"101050002025737"</f>
        <v>101050002025737</v>
      </c>
      <c r="J1070" t="str">
        <f t="shared" si="217"/>
        <v>515120</v>
      </c>
      <c r="K1070" t="s">
        <v>2</v>
      </c>
      <c r="L1070">
        <v>49</v>
      </c>
      <c r="M1070">
        <v>49</v>
      </c>
      <c r="N1070">
        <v>0</v>
      </c>
      <c r="O1070" s="1">
        <v>45583.348935185182</v>
      </c>
      <c r="P1070" t="s">
        <v>132</v>
      </c>
    </row>
    <row r="1071" spans="1:16" x14ac:dyDescent="0.3">
      <c r="A1071" t="s">
        <v>25</v>
      </c>
      <c r="B1071" s="1">
        <v>45583.348935185182</v>
      </c>
      <c r="C1071" t="str">
        <f t="shared" si="216"/>
        <v>41</v>
      </c>
      <c r="D1071" t="s">
        <v>120</v>
      </c>
      <c r="E1071" t="s">
        <v>116</v>
      </c>
      <c r="F1071" t="s">
        <v>117</v>
      </c>
      <c r="H1071" t="s">
        <v>316</v>
      </c>
      <c r="I1071" t="str">
        <f>"101050002025779"</f>
        <v>101050002025779</v>
      </c>
      <c r="J1071" t="str">
        <f t="shared" si="217"/>
        <v>515120</v>
      </c>
      <c r="K1071" t="s">
        <v>2</v>
      </c>
      <c r="L1071">
        <v>49</v>
      </c>
      <c r="M1071">
        <v>49</v>
      </c>
      <c r="N1071">
        <v>0</v>
      </c>
      <c r="O1071" s="1">
        <v>45583.348935185182</v>
      </c>
      <c r="P1071" t="s">
        <v>132</v>
      </c>
    </row>
    <row r="1072" spans="1:16" x14ac:dyDescent="0.3">
      <c r="A1072" t="s">
        <v>25</v>
      </c>
      <c r="B1072" s="1">
        <v>45583.348923611113</v>
      </c>
      <c r="C1072" t="str">
        <f t="shared" si="216"/>
        <v>41</v>
      </c>
      <c r="D1072" t="s">
        <v>120</v>
      </c>
      <c r="E1072" t="s">
        <v>116</v>
      </c>
      <c r="F1072" t="s">
        <v>117</v>
      </c>
      <c r="H1072" t="s">
        <v>316</v>
      </c>
      <c r="I1072" t="str">
        <f>"101050002024103"</f>
        <v>101050002024103</v>
      </c>
      <c r="J1072" t="str">
        <f t="shared" si="217"/>
        <v>515120</v>
      </c>
      <c r="K1072" t="s">
        <v>2</v>
      </c>
      <c r="L1072">
        <v>49</v>
      </c>
      <c r="M1072">
        <v>49</v>
      </c>
      <c r="N1072">
        <v>0</v>
      </c>
      <c r="O1072" s="1">
        <v>45583.348923611113</v>
      </c>
      <c r="P1072" t="s">
        <v>132</v>
      </c>
    </row>
    <row r="1073" spans="1:16" x14ac:dyDescent="0.3">
      <c r="A1073" t="s">
        <v>25</v>
      </c>
      <c r="B1073" s="1">
        <v>45583.34847222222</v>
      </c>
      <c r="C1073" t="str">
        <f>"38"</f>
        <v>38</v>
      </c>
      <c r="D1073" t="s">
        <v>115</v>
      </c>
      <c r="E1073" t="s">
        <v>116</v>
      </c>
      <c r="F1073" t="s">
        <v>117</v>
      </c>
      <c r="H1073" t="s">
        <v>317</v>
      </c>
      <c r="L1073">
        <v>0</v>
      </c>
      <c r="M1073">
        <v>0</v>
      </c>
      <c r="N1073">
        <v>0</v>
      </c>
      <c r="O1073" s="1">
        <v>45583.34847222222</v>
      </c>
      <c r="P1073" t="s">
        <v>122</v>
      </c>
    </row>
    <row r="1074" spans="1:16" x14ac:dyDescent="0.3">
      <c r="A1074" t="s">
        <v>25</v>
      </c>
      <c r="B1074" s="1">
        <v>45583.34847222222</v>
      </c>
      <c r="C1074" t="str">
        <f>"41"</f>
        <v>41</v>
      </c>
      <c r="D1074" t="s">
        <v>120</v>
      </c>
      <c r="E1074" t="s">
        <v>116</v>
      </c>
      <c r="F1074" t="s">
        <v>117</v>
      </c>
      <c r="H1074" t="s">
        <v>317</v>
      </c>
      <c r="I1074" t="str">
        <f>"101050001979204"</f>
        <v>101050001979204</v>
      </c>
      <c r="J1074" t="str">
        <f>"514490"</f>
        <v>514490</v>
      </c>
      <c r="K1074" t="s">
        <v>85</v>
      </c>
      <c r="L1074">
        <v>49</v>
      </c>
      <c r="M1074">
        <v>49</v>
      </c>
      <c r="N1074">
        <v>0</v>
      </c>
      <c r="O1074" s="1">
        <v>45583.34847222222</v>
      </c>
      <c r="P1074" t="s">
        <v>122</v>
      </c>
    </row>
    <row r="1075" spans="1:16" x14ac:dyDescent="0.3">
      <c r="A1075" t="s">
        <v>25</v>
      </c>
      <c r="B1075" s="1">
        <v>45583.34847222222</v>
      </c>
      <c r="C1075" t="str">
        <f>"41"</f>
        <v>41</v>
      </c>
      <c r="D1075" t="s">
        <v>120</v>
      </c>
      <c r="E1075" t="s">
        <v>116</v>
      </c>
      <c r="F1075" t="s">
        <v>117</v>
      </c>
      <c r="H1075" t="s">
        <v>317</v>
      </c>
      <c r="I1075" t="str">
        <f>"101050001978983"</f>
        <v>101050001978983</v>
      </c>
      <c r="J1075" t="str">
        <f>"514490"</f>
        <v>514490</v>
      </c>
      <c r="K1075" t="s">
        <v>85</v>
      </c>
      <c r="L1075">
        <v>49</v>
      </c>
      <c r="M1075">
        <v>49</v>
      </c>
      <c r="N1075">
        <v>0</v>
      </c>
      <c r="O1075" s="1">
        <v>45583.34847222222</v>
      </c>
      <c r="P1075" t="s">
        <v>122</v>
      </c>
    </row>
    <row r="1076" spans="1:16" x14ac:dyDescent="0.3">
      <c r="A1076" t="s">
        <v>25</v>
      </c>
      <c r="B1076" s="1">
        <v>45583.348460648151</v>
      </c>
      <c r="C1076" t="str">
        <f>"41"</f>
        <v>41</v>
      </c>
      <c r="D1076" t="s">
        <v>120</v>
      </c>
      <c r="E1076" t="s">
        <v>116</v>
      </c>
      <c r="F1076" t="s">
        <v>117</v>
      </c>
      <c r="H1076" t="s">
        <v>317</v>
      </c>
      <c r="I1076" t="str">
        <f>"101050001978967"</f>
        <v>101050001978967</v>
      </c>
      <c r="J1076" t="str">
        <f>"514490"</f>
        <v>514490</v>
      </c>
      <c r="K1076" t="s">
        <v>85</v>
      </c>
      <c r="L1076">
        <v>49</v>
      </c>
      <c r="M1076">
        <v>49</v>
      </c>
      <c r="N1076">
        <v>0</v>
      </c>
      <c r="O1076" s="1">
        <v>45583.348460648151</v>
      </c>
      <c r="P1076" t="s">
        <v>122</v>
      </c>
    </row>
    <row r="1077" spans="1:16" x14ac:dyDescent="0.3">
      <c r="A1077" t="s">
        <v>25</v>
      </c>
      <c r="B1077" s="1">
        <v>45583.348182870373</v>
      </c>
      <c r="C1077" t="str">
        <f>"38"</f>
        <v>38</v>
      </c>
      <c r="D1077" t="s">
        <v>115</v>
      </c>
      <c r="E1077" t="s">
        <v>116</v>
      </c>
      <c r="F1077" t="s">
        <v>117</v>
      </c>
      <c r="H1077" t="s">
        <v>318</v>
      </c>
      <c r="L1077">
        <v>0</v>
      </c>
      <c r="M1077">
        <v>0</v>
      </c>
      <c r="N1077">
        <v>0</v>
      </c>
      <c r="O1077" s="1">
        <v>45583.348182870373</v>
      </c>
      <c r="P1077" t="s">
        <v>119</v>
      </c>
    </row>
    <row r="1078" spans="1:16" x14ac:dyDescent="0.3">
      <c r="A1078" t="s">
        <v>25</v>
      </c>
      <c r="B1078" s="1">
        <v>45583.348182870373</v>
      </c>
      <c r="C1078" t="str">
        <f t="shared" ref="C1078:C1083" si="218">"41"</f>
        <v>41</v>
      </c>
      <c r="D1078" t="s">
        <v>120</v>
      </c>
      <c r="E1078" t="s">
        <v>116</v>
      </c>
      <c r="F1078" t="s">
        <v>117</v>
      </c>
      <c r="H1078" t="s">
        <v>318</v>
      </c>
      <c r="I1078" t="str">
        <f>"101050002023706"</f>
        <v>101050002023706</v>
      </c>
      <c r="J1078" t="str">
        <f t="shared" ref="J1078:J1083" si="219">"127436"</f>
        <v>127436</v>
      </c>
      <c r="K1078" t="s">
        <v>59</v>
      </c>
      <c r="L1078">
        <v>91</v>
      </c>
      <c r="M1078">
        <v>91</v>
      </c>
      <c r="N1078">
        <v>0</v>
      </c>
      <c r="O1078" s="1">
        <v>45583.348182870373</v>
      </c>
      <c r="P1078" t="s">
        <v>119</v>
      </c>
    </row>
    <row r="1079" spans="1:16" x14ac:dyDescent="0.3">
      <c r="A1079" t="s">
        <v>25</v>
      </c>
      <c r="B1079" s="1">
        <v>45583.348182870373</v>
      </c>
      <c r="C1079" t="str">
        <f t="shared" si="218"/>
        <v>41</v>
      </c>
      <c r="D1079" t="s">
        <v>120</v>
      </c>
      <c r="E1079" t="s">
        <v>116</v>
      </c>
      <c r="F1079" t="s">
        <v>117</v>
      </c>
      <c r="H1079" t="s">
        <v>318</v>
      </c>
      <c r="I1079" t="str">
        <f>"101050002023527"</f>
        <v>101050002023527</v>
      </c>
      <c r="J1079" t="str">
        <f t="shared" si="219"/>
        <v>127436</v>
      </c>
      <c r="K1079" t="s">
        <v>59</v>
      </c>
      <c r="L1079">
        <v>91</v>
      </c>
      <c r="M1079">
        <v>91</v>
      </c>
      <c r="N1079">
        <v>0</v>
      </c>
      <c r="O1079" s="1">
        <v>45583.348182870373</v>
      </c>
      <c r="P1079" t="s">
        <v>119</v>
      </c>
    </row>
    <row r="1080" spans="1:16" x14ac:dyDescent="0.3">
      <c r="A1080" t="s">
        <v>25</v>
      </c>
      <c r="B1080" s="1">
        <v>45583.348182870373</v>
      </c>
      <c r="C1080" t="str">
        <f t="shared" si="218"/>
        <v>41</v>
      </c>
      <c r="D1080" t="s">
        <v>120</v>
      </c>
      <c r="E1080" t="s">
        <v>116</v>
      </c>
      <c r="F1080" t="s">
        <v>117</v>
      </c>
      <c r="H1080" t="s">
        <v>318</v>
      </c>
      <c r="I1080" t="str">
        <f>"101050002022662"</f>
        <v>101050002022662</v>
      </c>
      <c r="J1080" t="str">
        <f t="shared" si="219"/>
        <v>127436</v>
      </c>
      <c r="K1080" t="s">
        <v>59</v>
      </c>
      <c r="L1080">
        <v>91</v>
      </c>
      <c r="M1080">
        <v>91</v>
      </c>
      <c r="N1080">
        <v>0</v>
      </c>
      <c r="O1080" s="1">
        <v>45583.348182870373</v>
      </c>
      <c r="P1080" t="s">
        <v>119</v>
      </c>
    </row>
    <row r="1081" spans="1:16" x14ac:dyDescent="0.3">
      <c r="A1081" t="s">
        <v>25</v>
      </c>
      <c r="B1081" s="1">
        <v>45583.348171296297</v>
      </c>
      <c r="C1081" t="str">
        <f t="shared" si="218"/>
        <v>41</v>
      </c>
      <c r="D1081" t="s">
        <v>120</v>
      </c>
      <c r="E1081" t="s">
        <v>116</v>
      </c>
      <c r="F1081" t="s">
        <v>117</v>
      </c>
      <c r="H1081" t="s">
        <v>318</v>
      </c>
      <c r="I1081" t="str">
        <f>"101050002022445"</f>
        <v>101050002022445</v>
      </c>
      <c r="J1081" t="str">
        <f t="shared" si="219"/>
        <v>127436</v>
      </c>
      <c r="K1081" t="s">
        <v>59</v>
      </c>
      <c r="L1081">
        <v>91</v>
      </c>
      <c r="M1081">
        <v>91</v>
      </c>
      <c r="N1081">
        <v>0</v>
      </c>
      <c r="O1081" s="1">
        <v>45583.348171296297</v>
      </c>
      <c r="P1081" t="s">
        <v>119</v>
      </c>
    </row>
    <row r="1082" spans="1:16" x14ac:dyDescent="0.3">
      <c r="A1082" t="s">
        <v>25</v>
      </c>
      <c r="B1082" s="1">
        <v>45583.348171296297</v>
      </c>
      <c r="C1082" t="str">
        <f t="shared" si="218"/>
        <v>41</v>
      </c>
      <c r="D1082" t="s">
        <v>120</v>
      </c>
      <c r="E1082" t="s">
        <v>116</v>
      </c>
      <c r="F1082" t="s">
        <v>117</v>
      </c>
      <c r="H1082" t="s">
        <v>318</v>
      </c>
      <c r="I1082" t="str">
        <f>"101050002022660"</f>
        <v>101050002022660</v>
      </c>
      <c r="J1082" t="str">
        <f t="shared" si="219"/>
        <v>127436</v>
      </c>
      <c r="K1082" t="s">
        <v>59</v>
      </c>
      <c r="L1082">
        <v>91</v>
      </c>
      <c r="M1082">
        <v>91</v>
      </c>
      <c r="N1082">
        <v>0</v>
      </c>
      <c r="O1082" s="1">
        <v>45583.348171296297</v>
      </c>
      <c r="P1082" t="s">
        <v>119</v>
      </c>
    </row>
    <row r="1083" spans="1:16" x14ac:dyDescent="0.3">
      <c r="A1083" t="s">
        <v>25</v>
      </c>
      <c r="B1083" s="1">
        <v>45583.348171296297</v>
      </c>
      <c r="C1083" t="str">
        <f t="shared" si="218"/>
        <v>41</v>
      </c>
      <c r="D1083" t="s">
        <v>120</v>
      </c>
      <c r="E1083" t="s">
        <v>116</v>
      </c>
      <c r="F1083" t="s">
        <v>117</v>
      </c>
      <c r="H1083" t="s">
        <v>318</v>
      </c>
      <c r="I1083" t="str">
        <f>"101050002022659"</f>
        <v>101050002022659</v>
      </c>
      <c r="J1083" t="str">
        <f t="shared" si="219"/>
        <v>127436</v>
      </c>
      <c r="K1083" t="s">
        <v>59</v>
      </c>
      <c r="L1083">
        <v>91</v>
      </c>
      <c r="M1083">
        <v>91</v>
      </c>
      <c r="N1083">
        <v>0</v>
      </c>
      <c r="O1083" s="1">
        <v>45583.348171296297</v>
      </c>
      <c r="P1083" t="s">
        <v>119</v>
      </c>
    </row>
    <row r="1084" spans="1:16" x14ac:dyDescent="0.3">
      <c r="A1084" t="s">
        <v>25</v>
      </c>
      <c r="B1084" s="1">
        <v>45583.347407407404</v>
      </c>
      <c r="C1084" t="str">
        <f>"38"</f>
        <v>38</v>
      </c>
      <c r="D1084" t="s">
        <v>115</v>
      </c>
      <c r="E1084" t="s">
        <v>116</v>
      </c>
      <c r="F1084" t="s">
        <v>117</v>
      </c>
      <c r="H1084" t="s">
        <v>319</v>
      </c>
      <c r="L1084">
        <v>0</v>
      </c>
      <c r="M1084">
        <v>0</v>
      </c>
      <c r="N1084">
        <v>0</v>
      </c>
      <c r="O1084" s="1">
        <v>45583.347407407404</v>
      </c>
      <c r="P1084" t="s">
        <v>125</v>
      </c>
    </row>
    <row r="1085" spans="1:16" x14ac:dyDescent="0.3">
      <c r="A1085" t="s">
        <v>25</v>
      </c>
      <c r="B1085" s="1">
        <v>45583.347407407404</v>
      </c>
      <c r="C1085" t="str">
        <f t="shared" ref="C1085:C1091" si="220">"41"</f>
        <v>41</v>
      </c>
      <c r="D1085" t="s">
        <v>120</v>
      </c>
      <c r="E1085" t="s">
        <v>116</v>
      </c>
      <c r="F1085" t="s">
        <v>117</v>
      </c>
      <c r="H1085" t="s">
        <v>319</v>
      </c>
      <c r="I1085" t="str">
        <f>"101050002025598"</f>
        <v>101050002025598</v>
      </c>
      <c r="J1085" t="str">
        <f t="shared" ref="J1085:J1091" si="221">"515120"</f>
        <v>515120</v>
      </c>
      <c r="K1085" t="s">
        <v>2</v>
      </c>
      <c r="L1085">
        <v>49</v>
      </c>
      <c r="M1085">
        <v>49</v>
      </c>
      <c r="N1085">
        <v>0</v>
      </c>
      <c r="O1085" s="1">
        <v>45583.347407407404</v>
      </c>
      <c r="P1085" t="s">
        <v>125</v>
      </c>
    </row>
    <row r="1086" spans="1:16" x14ac:dyDescent="0.3">
      <c r="A1086" t="s">
        <v>25</v>
      </c>
      <c r="B1086" s="1">
        <v>45583.347407407404</v>
      </c>
      <c r="C1086" t="str">
        <f t="shared" si="220"/>
        <v>41</v>
      </c>
      <c r="D1086" t="s">
        <v>120</v>
      </c>
      <c r="E1086" t="s">
        <v>116</v>
      </c>
      <c r="F1086" t="s">
        <v>117</v>
      </c>
      <c r="H1086" t="s">
        <v>319</v>
      </c>
      <c r="I1086" t="str">
        <f>"101050002022771"</f>
        <v>101050002022771</v>
      </c>
      <c r="J1086" t="str">
        <f t="shared" si="221"/>
        <v>515120</v>
      </c>
      <c r="K1086" t="s">
        <v>2</v>
      </c>
      <c r="L1086">
        <v>49</v>
      </c>
      <c r="M1086">
        <v>49</v>
      </c>
      <c r="N1086">
        <v>0</v>
      </c>
      <c r="O1086" s="1">
        <v>45583.347407407404</v>
      </c>
      <c r="P1086" t="s">
        <v>125</v>
      </c>
    </row>
    <row r="1087" spans="1:16" x14ac:dyDescent="0.3">
      <c r="A1087" t="s">
        <v>25</v>
      </c>
      <c r="B1087" s="1">
        <v>45583.347407407404</v>
      </c>
      <c r="C1087" t="str">
        <f t="shared" si="220"/>
        <v>41</v>
      </c>
      <c r="D1087" t="s">
        <v>120</v>
      </c>
      <c r="E1087" t="s">
        <v>116</v>
      </c>
      <c r="F1087" t="s">
        <v>117</v>
      </c>
      <c r="H1087" t="s">
        <v>319</v>
      </c>
      <c r="I1087" t="str">
        <f>"101050002022376"</f>
        <v>101050002022376</v>
      </c>
      <c r="J1087" t="str">
        <f t="shared" si="221"/>
        <v>515120</v>
      </c>
      <c r="K1087" t="s">
        <v>2</v>
      </c>
      <c r="L1087">
        <v>49</v>
      </c>
      <c r="M1087">
        <v>49</v>
      </c>
      <c r="N1087">
        <v>0</v>
      </c>
      <c r="O1087" s="1">
        <v>45583.347407407404</v>
      </c>
      <c r="P1087" t="s">
        <v>125</v>
      </c>
    </row>
    <row r="1088" spans="1:16" x14ac:dyDescent="0.3">
      <c r="A1088" t="s">
        <v>25</v>
      </c>
      <c r="B1088" s="1">
        <v>45583.347407407404</v>
      </c>
      <c r="C1088" t="str">
        <f t="shared" si="220"/>
        <v>41</v>
      </c>
      <c r="D1088" t="s">
        <v>120</v>
      </c>
      <c r="E1088" t="s">
        <v>116</v>
      </c>
      <c r="F1088" t="s">
        <v>117</v>
      </c>
      <c r="H1088" t="s">
        <v>319</v>
      </c>
      <c r="I1088" t="str">
        <f>"101050002022830"</f>
        <v>101050002022830</v>
      </c>
      <c r="J1088" t="str">
        <f t="shared" si="221"/>
        <v>515120</v>
      </c>
      <c r="K1088" t="s">
        <v>2</v>
      </c>
      <c r="L1088">
        <v>49</v>
      </c>
      <c r="M1088">
        <v>49</v>
      </c>
      <c r="N1088">
        <v>0</v>
      </c>
      <c r="O1088" s="1">
        <v>45583.347407407404</v>
      </c>
      <c r="P1088" t="s">
        <v>125</v>
      </c>
    </row>
    <row r="1089" spans="1:16" x14ac:dyDescent="0.3">
      <c r="A1089" t="s">
        <v>25</v>
      </c>
      <c r="B1089" s="1">
        <v>45583.347407407404</v>
      </c>
      <c r="C1089" t="str">
        <f t="shared" si="220"/>
        <v>41</v>
      </c>
      <c r="D1089" t="s">
        <v>120</v>
      </c>
      <c r="E1089" t="s">
        <v>116</v>
      </c>
      <c r="F1089" t="s">
        <v>117</v>
      </c>
      <c r="H1089" t="s">
        <v>319</v>
      </c>
      <c r="I1089" t="str">
        <f>"101050002022052"</f>
        <v>101050002022052</v>
      </c>
      <c r="J1089" t="str">
        <f t="shared" si="221"/>
        <v>515120</v>
      </c>
      <c r="K1089" t="s">
        <v>2</v>
      </c>
      <c r="L1089">
        <v>49</v>
      </c>
      <c r="M1089">
        <v>49</v>
      </c>
      <c r="N1089">
        <v>0</v>
      </c>
      <c r="O1089" s="1">
        <v>45583.347407407404</v>
      </c>
      <c r="P1089" t="s">
        <v>125</v>
      </c>
    </row>
    <row r="1090" spans="1:16" x14ac:dyDescent="0.3">
      <c r="A1090" t="s">
        <v>25</v>
      </c>
      <c r="B1090" s="1">
        <v>45583.347395833334</v>
      </c>
      <c r="C1090" t="str">
        <f t="shared" si="220"/>
        <v>41</v>
      </c>
      <c r="D1090" t="s">
        <v>120</v>
      </c>
      <c r="E1090" t="s">
        <v>116</v>
      </c>
      <c r="F1090" t="s">
        <v>117</v>
      </c>
      <c r="H1090" t="s">
        <v>319</v>
      </c>
      <c r="I1090" t="str">
        <f>"101050002022274"</f>
        <v>101050002022274</v>
      </c>
      <c r="J1090" t="str">
        <f t="shared" si="221"/>
        <v>515120</v>
      </c>
      <c r="K1090" t="s">
        <v>2</v>
      </c>
      <c r="L1090">
        <v>49</v>
      </c>
      <c r="M1090">
        <v>49</v>
      </c>
      <c r="N1090">
        <v>0</v>
      </c>
      <c r="O1090" s="1">
        <v>45583.347395833334</v>
      </c>
      <c r="P1090" t="s">
        <v>125</v>
      </c>
    </row>
    <row r="1091" spans="1:16" x14ac:dyDescent="0.3">
      <c r="A1091" t="s">
        <v>25</v>
      </c>
      <c r="B1091" s="1">
        <v>45583.347395833334</v>
      </c>
      <c r="C1091" t="str">
        <f t="shared" si="220"/>
        <v>41</v>
      </c>
      <c r="D1091" t="s">
        <v>120</v>
      </c>
      <c r="E1091" t="s">
        <v>116</v>
      </c>
      <c r="F1091" t="s">
        <v>117</v>
      </c>
      <c r="H1091" t="s">
        <v>319</v>
      </c>
      <c r="I1091" t="str">
        <f>"101050002022271"</f>
        <v>101050002022271</v>
      </c>
      <c r="J1091" t="str">
        <f t="shared" si="221"/>
        <v>515120</v>
      </c>
      <c r="K1091" t="s">
        <v>2</v>
      </c>
      <c r="L1091">
        <v>49</v>
      </c>
      <c r="M1091">
        <v>49</v>
      </c>
      <c r="N1091">
        <v>0</v>
      </c>
      <c r="O1091" s="1">
        <v>45583.347395833334</v>
      </c>
      <c r="P1091" t="s">
        <v>125</v>
      </c>
    </row>
    <row r="1092" spans="1:16" x14ac:dyDescent="0.3">
      <c r="A1092" t="s">
        <v>25</v>
      </c>
      <c r="B1092" s="1">
        <v>45583.347233796296</v>
      </c>
      <c r="C1092" t="str">
        <f t="shared" ref="C1092:C1107" si="222">"38"</f>
        <v>38</v>
      </c>
      <c r="D1092" t="s">
        <v>115</v>
      </c>
      <c r="E1092" t="s">
        <v>116</v>
      </c>
      <c r="F1092" t="s">
        <v>117</v>
      </c>
      <c r="H1092" t="s">
        <v>320</v>
      </c>
      <c r="L1092">
        <v>0</v>
      </c>
      <c r="M1092">
        <v>0</v>
      </c>
      <c r="N1092">
        <v>0</v>
      </c>
      <c r="O1092" s="1">
        <v>45583.347233796296</v>
      </c>
      <c r="P1092" t="s">
        <v>132</v>
      </c>
    </row>
    <row r="1093" spans="1:16" x14ac:dyDescent="0.3">
      <c r="A1093" t="s">
        <v>25</v>
      </c>
      <c r="B1093" s="1">
        <v>45583.347141203703</v>
      </c>
      <c r="C1093" t="str">
        <f t="shared" si="222"/>
        <v>38</v>
      </c>
      <c r="D1093" t="s">
        <v>115</v>
      </c>
      <c r="E1093" t="s">
        <v>116</v>
      </c>
      <c r="F1093" t="s">
        <v>117</v>
      </c>
      <c r="H1093" t="s">
        <v>321</v>
      </c>
      <c r="L1093">
        <v>0</v>
      </c>
      <c r="M1093">
        <v>0</v>
      </c>
      <c r="N1093">
        <v>0</v>
      </c>
      <c r="O1093" s="1">
        <v>45583.347141203703</v>
      </c>
      <c r="P1093" t="s">
        <v>132</v>
      </c>
    </row>
    <row r="1094" spans="1:16" x14ac:dyDescent="0.3">
      <c r="A1094" t="s">
        <v>25</v>
      </c>
      <c r="B1094" s="1">
        <v>45583.34710648148</v>
      </c>
      <c r="C1094" t="str">
        <f t="shared" si="222"/>
        <v>38</v>
      </c>
      <c r="D1094" t="s">
        <v>115</v>
      </c>
      <c r="E1094" t="s">
        <v>116</v>
      </c>
      <c r="F1094" t="s">
        <v>117</v>
      </c>
      <c r="H1094" t="s">
        <v>322</v>
      </c>
      <c r="L1094">
        <v>0</v>
      </c>
      <c r="M1094">
        <v>0</v>
      </c>
      <c r="N1094">
        <v>0</v>
      </c>
      <c r="O1094" s="1">
        <v>45583.34710648148</v>
      </c>
      <c r="P1094" t="s">
        <v>132</v>
      </c>
    </row>
    <row r="1095" spans="1:16" x14ac:dyDescent="0.3">
      <c r="A1095" t="s">
        <v>25</v>
      </c>
      <c r="B1095" s="1">
        <v>45583.347071759257</v>
      </c>
      <c r="C1095" t="str">
        <f t="shared" si="222"/>
        <v>38</v>
      </c>
      <c r="D1095" t="s">
        <v>115</v>
      </c>
      <c r="E1095" t="s">
        <v>116</v>
      </c>
      <c r="F1095" t="s">
        <v>117</v>
      </c>
      <c r="H1095" t="s">
        <v>323</v>
      </c>
      <c r="L1095">
        <v>0</v>
      </c>
      <c r="M1095">
        <v>0</v>
      </c>
      <c r="N1095">
        <v>0</v>
      </c>
      <c r="O1095" s="1">
        <v>45583.347071759257</v>
      </c>
      <c r="P1095" t="s">
        <v>132</v>
      </c>
    </row>
    <row r="1096" spans="1:16" x14ac:dyDescent="0.3">
      <c r="A1096" t="s">
        <v>25</v>
      </c>
      <c r="B1096" s="1">
        <v>45583.347025462965</v>
      </c>
      <c r="C1096" t="str">
        <f t="shared" si="222"/>
        <v>38</v>
      </c>
      <c r="D1096" t="s">
        <v>115</v>
      </c>
      <c r="E1096" t="s">
        <v>116</v>
      </c>
      <c r="F1096" t="s">
        <v>117</v>
      </c>
      <c r="H1096" t="s">
        <v>324</v>
      </c>
      <c r="L1096">
        <v>0</v>
      </c>
      <c r="M1096">
        <v>0</v>
      </c>
      <c r="N1096">
        <v>0</v>
      </c>
      <c r="O1096" s="1">
        <v>45583.347025462965</v>
      </c>
      <c r="P1096" t="s">
        <v>132</v>
      </c>
    </row>
    <row r="1097" spans="1:16" x14ac:dyDescent="0.3">
      <c r="A1097" t="s">
        <v>25</v>
      </c>
      <c r="B1097" s="1">
        <v>45583.346979166665</v>
      </c>
      <c r="C1097" t="str">
        <f t="shared" si="222"/>
        <v>38</v>
      </c>
      <c r="D1097" t="s">
        <v>115</v>
      </c>
      <c r="E1097" t="s">
        <v>116</v>
      </c>
      <c r="F1097" t="s">
        <v>117</v>
      </c>
      <c r="H1097" t="s">
        <v>325</v>
      </c>
      <c r="L1097">
        <v>0</v>
      </c>
      <c r="M1097">
        <v>0</v>
      </c>
      <c r="N1097">
        <v>0</v>
      </c>
      <c r="O1097" s="1">
        <v>45583.346979166665</v>
      </c>
      <c r="P1097" t="s">
        <v>132</v>
      </c>
    </row>
    <row r="1098" spans="1:16" x14ac:dyDescent="0.3">
      <c r="A1098" t="s">
        <v>25</v>
      </c>
      <c r="B1098" s="1">
        <v>45583.346875000003</v>
      </c>
      <c r="C1098" t="str">
        <f t="shared" si="222"/>
        <v>38</v>
      </c>
      <c r="D1098" t="s">
        <v>115</v>
      </c>
      <c r="E1098" t="s">
        <v>116</v>
      </c>
      <c r="F1098" t="s">
        <v>117</v>
      </c>
      <c r="H1098" t="s">
        <v>326</v>
      </c>
      <c r="L1098">
        <v>0</v>
      </c>
      <c r="M1098">
        <v>0</v>
      </c>
      <c r="N1098">
        <v>0</v>
      </c>
      <c r="O1098" s="1">
        <v>45583.346875000003</v>
      </c>
      <c r="P1098" t="s">
        <v>132</v>
      </c>
    </row>
    <row r="1099" spans="1:16" x14ac:dyDescent="0.3">
      <c r="A1099" t="s">
        <v>25</v>
      </c>
      <c r="B1099" s="1">
        <v>45583.34684027778</v>
      </c>
      <c r="C1099" t="str">
        <f t="shared" si="222"/>
        <v>38</v>
      </c>
      <c r="D1099" t="s">
        <v>115</v>
      </c>
      <c r="E1099" t="s">
        <v>116</v>
      </c>
      <c r="F1099" t="s">
        <v>117</v>
      </c>
      <c r="H1099" t="s">
        <v>327</v>
      </c>
      <c r="L1099">
        <v>0</v>
      </c>
      <c r="M1099">
        <v>0</v>
      </c>
      <c r="N1099">
        <v>0</v>
      </c>
      <c r="O1099" s="1">
        <v>45583.34684027778</v>
      </c>
      <c r="P1099" t="s">
        <v>132</v>
      </c>
    </row>
    <row r="1100" spans="1:16" x14ac:dyDescent="0.3">
      <c r="A1100" t="s">
        <v>25</v>
      </c>
      <c r="B1100" s="1">
        <v>45583.346805555557</v>
      </c>
      <c r="C1100" t="str">
        <f t="shared" si="222"/>
        <v>38</v>
      </c>
      <c r="D1100" t="s">
        <v>115</v>
      </c>
      <c r="E1100" t="s">
        <v>116</v>
      </c>
      <c r="F1100" t="s">
        <v>117</v>
      </c>
      <c r="H1100" t="s">
        <v>328</v>
      </c>
      <c r="L1100">
        <v>0</v>
      </c>
      <c r="M1100">
        <v>0</v>
      </c>
      <c r="N1100">
        <v>0</v>
      </c>
      <c r="O1100" s="1">
        <v>45583.346805555557</v>
      </c>
      <c r="P1100" t="s">
        <v>132</v>
      </c>
    </row>
    <row r="1101" spans="1:16" x14ac:dyDescent="0.3">
      <c r="A1101" t="s">
        <v>25</v>
      </c>
      <c r="B1101" s="1">
        <v>45583.346770833334</v>
      </c>
      <c r="C1101" t="str">
        <f t="shared" si="222"/>
        <v>38</v>
      </c>
      <c r="D1101" t="s">
        <v>115</v>
      </c>
      <c r="E1101" t="s">
        <v>116</v>
      </c>
      <c r="F1101" t="s">
        <v>117</v>
      </c>
      <c r="H1101" t="s">
        <v>329</v>
      </c>
      <c r="L1101">
        <v>0</v>
      </c>
      <c r="M1101">
        <v>0</v>
      </c>
      <c r="N1101">
        <v>0</v>
      </c>
      <c r="O1101" s="1">
        <v>45583.346770833334</v>
      </c>
      <c r="P1101" t="s">
        <v>132</v>
      </c>
    </row>
    <row r="1102" spans="1:16" x14ac:dyDescent="0.3">
      <c r="A1102" t="s">
        <v>25</v>
      </c>
      <c r="B1102" s="1">
        <v>45583.346747685187</v>
      </c>
      <c r="C1102" t="str">
        <f t="shared" si="222"/>
        <v>38</v>
      </c>
      <c r="D1102" t="s">
        <v>115</v>
      </c>
      <c r="E1102" t="s">
        <v>116</v>
      </c>
      <c r="F1102" t="s">
        <v>117</v>
      </c>
      <c r="H1102" t="s">
        <v>330</v>
      </c>
      <c r="L1102">
        <v>0</v>
      </c>
      <c r="M1102">
        <v>0</v>
      </c>
      <c r="N1102">
        <v>0</v>
      </c>
      <c r="O1102" s="1">
        <v>45583.346747685187</v>
      </c>
      <c r="P1102" t="s">
        <v>132</v>
      </c>
    </row>
    <row r="1103" spans="1:16" x14ac:dyDescent="0.3">
      <c r="A1103" t="s">
        <v>25</v>
      </c>
      <c r="B1103" s="1">
        <v>45583.346712962964</v>
      </c>
      <c r="C1103" t="str">
        <f t="shared" si="222"/>
        <v>38</v>
      </c>
      <c r="D1103" t="s">
        <v>115</v>
      </c>
      <c r="E1103" t="s">
        <v>116</v>
      </c>
      <c r="F1103" t="s">
        <v>117</v>
      </c>
      <c r="H1103" t="s">
        <v>331</v>
      </c>
      <c r="L1103">
        <v>0</v>
      </c>
      <c r="M1103">
        <v>0</v>
      </c>
      <c r="N1103">
        <v>0</v>
      </c>
      <c r="O1103" s="1">
        <v>45583.346712962964</v>
      </c>
      <c r="P1103" t="s">
        <v>132</v>
      </c>
    </row>
    <row r="1104" spans="1:16" x14ac:dyDescent="0.3">
      <c r="A1104" t="s">
        <v>25</v>
      </c>
      <c r="B1104" s="1">
        <v>45583.346678240741</v>
      </c>
      <c r="C1104" t="str">
        <f t="shared" si="222"/>
        <v>38</v>
      </c>
      <c r="D1104" t="s">
        <v>115</v>
      </c>
      <c r="E1104" t="s">
        <v>116</v>
      </c>
      <c r="F1104" t="s">
        <v>117</v>
      </c>
      <c r="H1104" t="s">
        <v>332</v>
      </c>
      <c r="L1104">
        <v>0</v>
      </c>
      <c r="M1104">
        <v>0</v>
      </c>
      <c r="N1104">
        <v>0</v>
      </c>
      <c r="O1104" s="1">
        <v>45583.346678240741</v>
      </c>
      <c r="P1104" t="s">
        <v>132</v>
      </c>
    </row>
    <row r="1105" spans="1:16" x14ac:dyDescent="0.3">
      <c r="A1105" t="s">
        <v>25</v>
      </c>
      <c r="B1105" s="1">
        <v>45583.346620370372</v>
      </c>
      <c r="C1105" t="str">
        <f t="shared" si="222"/>
        <v>38</v>
      </c>
      <c r="D1105" t="s">
        <v>115</v>
      </c>
      <c r="E1105" t="s">
        <v>116</v>
      </c>
      <c r="F1105" t="s">
        <v>117</v>
      </c>
      <c r="H1105" t="s">
        <v>333</v>
      </c>
      <c r="L1105">
        <v>0</v>
      </c>
      <c r="M1105">
        <v>0</v>
      </c>
      <c r="N1105">
        <v>0</v>
      </c>
      <c r="O1105" s="1">
        <v>45583.346620370372</v>
      </c>
      <c r="P1105" t="s">
        <v>132</v>
      </c>
    </row>
    <row r="1106" spans="1:16" x14ac:dyDescent="0.3">
      <c r="A1106" t="s">
        <v>25</v>
      </c>
      <c r="B1106" s="1">
        <v>45583.346574074072</v>
      </c>
      <c r="C1106" t="str">
        <f t="shared" si="222"/>
        <v>38</v>
      </c>
      <c r="D1106" t="s">
        <v>115</v>
      </c>
      <c r="E1106" t="s">
        <v>116</v>
      </c>
      <c r="F1106" t="s">
        <v>117</v>
      </c>
      <c r="H1106" t="s">
        <v>334</v>
      </c>
      <c r="L1106">
        <v>0</v>
      </c>
      <c r="M1106">
        <v>0</v>
      </c>
      <c r="N1106">
        <v>0</v>
      </c>
      <c r="O1106" s="1">
        <v>45583.346574074072</v>
      </c>
      <c r="P1106" t="s">
        <v>132</v>
      </c>
    </row>
    <row r="1107" spans="1:16" x14ac:dyDescent="0.3">
      <c r="A1107" t="s">
        <v>25</v>
      </c>
      <c r="B1107" s="1">
        <v>45583.346643518518</v>
      </c>
      <c r="C1107" t="str">
        <f t="shared" si="222"/>
        <v>38</v>
      </c>
      <c r="D1107" t="s">
        <v>115</v>
      </c>
      <c r="E1107" t="s">
        <v>116</v>
      </c>
      <c r="F1107" t="s">
        <v>117</v>
      </c>
      <c r="H1107" t="s">
        <v>335</v>
      </c>
      <c r="L1107">
        <v>0</v>
      </c>
      <c r="M1107">
        <v>0</v>
      </c>
      <c r="N1107">
        <v>0</v>
      </c>
      <c r="O1107" s="1">
        <v>45583.346643518518</v>
      </c>
      <c r="P1107" t="s">
        <v>122</v>
      </c>
    </row>
    <row r="1108" spans="1:16" x14ac:dyDescent="0.3">
      <c r="A1108" t="s">
        <v>25</v>
      </c>
      <c r="B1108" s="1">
        <v>45583.346643518518</v>
      </c>
      <c r="C1108" t="str">
        <f t="shared" ref="C1108:C1114" si="223">"41"</f>
        <v>41</v>
      </c>
      <c r="D1108" t="s">
        <v>120</v>
      </c>
      <c r="E1108" t="s">
        <v>116</v>
      </c>
      <c r="F1108" t="s">
        <v>117</v>
      </c>
      <c r="H1108" t="s">
        <v>335</v>
      </c>
      <c r="I1108" t="str">
        <f>"101050002023340"</f>
        <v>101050002023340</v>
      </c>
      <c r="J1108" t="str">
        <f t="shared" ref="J1108:J1114" si="224">"515120"</f>
        <v>515120</v>
      </c>
      <c r="K1108" t="s">
        <v>2</v>
      </c>
      <c r="L1108">
        <v>49</v>
      </c>
      <c r="M1108">
        <v>49</v>
      </c>
      <c r="N1108">
        <v>0</v>
      </c>
      <c r="O1108" s="1">
        <v>45583.346643518518</v>
      </c>
      <c r="P1108" t="s">
        <v>122</v>
      </c>
    </row>
    <row r="1109" spans="1:16" x14ac:dyDescent="0.3">
      <c r="A1109" t="s">
        <v>25</v>
      </c>
      <c r="B1109" s="1">
        <v>45583.346631944441</v>
      </c>
      <c r="C1109" t="str">
        <f t="shared" si="223"/>
        <v>41</v>
      </c>
      <c r="D1109" t="s">
        <v>120</v>
      </c>
      <c r="E1109" t="s">
        <v>116</v>
      </c>
      <c r="F1109" t="s">
        <v>117</v>
      </c>
      <c r="H1109" t="s">
        <v>335</v>
      </c>
      <c r="I1109" t="str">
        <f>"101050002023342"</f>
        <v>101050002023342</v>
      </c>
      <c r="J1109" t="str">
        <f t="shared" si="224"/>
        <v>515120</v>
      </c>
      <c r="K1109" t="s">
        <v>2</v>
      </c>
      <c r="L1109">
        <v>49</v>
      </c>
      <c r="M1109">
        <v>49</v>
      </c>
      <c r="N1109">
        <v>0</v>
      </c>
      <c r="O1109" s="1">
        <v>45583.346631944441</v>
      </c>
      <c r="P1109" t="s">
        <v>122</v>
      </c>
    </row>
    <row r="1110" spans="1:16" x14ac:dyDescent="0.3">
      <c r="A1110" t="s">
        <v>25</v>
      </c>
      <c r="B1110" s="1">
        <v>45583.346631944441</v>
      </c>
      <c r="C1110" t="str">
        <f t="shared" si="223"/>
        <v>41</v>
      </c>
      <c r="D1110" t="s">
        <v>120</v>
      </c>
      <c r="E1110" t="s">
        <v>116</v>
      </c>
      <c r="F1110" t="s">
        <v>117</v>
      </c>
      <c r="H1110" t="s">
        <v>335</v>
      </c>
      <c r="I1110" t="str">
        <f>"101050002022384"</f>
        <v>101050002022384</v>
      </c>
      <c r="J1110" t="str">
        <f t="shared" si="224"/>
        <v>515120</v>
      </c>
      <c r="K1110" t="s">
        <v>2</v>
      </c>
      <c r="L1110">
        <v>49</v>
      </c>
      <c r="M1110">
        <v>49</v>
      </c>
      <c r="N1110">
        <v>0</v>
      </c>
      <c r="O1110" s="1">
        <v>45583.346631944441</v>
      </c>
      <c r="P1110" t="s">
        <v>122</v>
      </c>
    </row>
    <row r="1111" spans="1:16" x14ac:dyDescent="0.3">
      <c r="A1111" t="s">
        <v>25</v>
      </c>
      <c r="B1111" s="1">
        <v>45583.346631944441</v>
      </c>
      <c r="C1111" t="str">
        <f t="shared" si="223"/>
        <v>41</v>
      </c>
      <c r="D1111" t="s">
        <v>120</v>
      </c>
      <c r="E1111" t="s">
        <v>116</v>
      </c>
      <c r="F1111" t="s">
        <v>117</v>
      </c>
      <c r="H1111" t="s">
        <v>335</v>
      </c>
      <c r="I1111" t="str">
        <f>"101050002022518"</f>
        <v>101050002022518</v>
      </c>
      <c r="J1111" t="str">
        <f t="shared" si="224"/>
        <v>515120</v>
      </c>
      <c r="K1111" t="s">
        <v>2</v>
      </c>
      <c r="L1111">
        <v>49</v>
      </c>
      <c r="M1111">
        <v>49</v>
      </c>
      <c r="N1111">
        <v>0</v>
      </c>
      <c r="O1111" s="1">
        <v>45583.346631944441</v>
      </c>
      <c r="P1111" t="s">
        <v>122</v>
      </c>
    </row>
    <row r="1112" spans="1:16" x14ac:dyDescent="0.3">
      <c r="A1112" t="s">
        <v>25</v>
      </c>
      <c r="B1112" s="1">
        <v>45583.346631944441</v>
      </c>
      <c r="C1112" t="str">
        <f t="shared" si="223"/>
        <v>41</v>
      </c>
      <c r="D1112" t="s">
        <v>120</v>
      </c>
      <c r="E1112" t="s">
        <v>116</v>
      </c>
      <c r="F1112" t="s">
        <v>117</v>
      </c>
      <c r="H1112" t="s">
        <v>335</v>
      </c>
      <c r="I1112" t="str">
        <f>"101050002022403"</f>
        <v>101050002022403</v>
      </c>
      <c r="J1112" t="str">
        <f t="shared" si="224"/>
        <v>515120</v>
      </c>
      <c r="K1112" t="s">
        <v>2</v>
      </c>
      <c r="L1112">
        <v>49</v>
      </c>
      <c r="M1112">
        <v>49</v>
      </c>
      <c r="N1112">
        <v>0</v>
      </c>
      <c r="O1112" s="1">
        <v>45583.346631944441</v>
      </c>
      <c r="P1112" t="s">
        <v>122</v>
      </c>
    </row>
    <row r="1113" spans="1:16" x14ac:dyDescent="0.3">
      <c r="A1113" t="s">
        <v>25</v>
      </c>
      <c r="B1113" s="1">
        <v>45583.346631944441</v>
      </c>
      <c r="C1113" t="str">
        <f t="shared" si="223"/>
        <v>41</v>
      </c>
      <c r="D1113" t="s">
        <v>120</v>
      </c>
      <c r="E1113" t="s">
        <v>116</v>
      </c>
      <c r="F1113" t="s">
        <v>117</v>
      </c>
      <c r="H1113" t="s">
        <v>335</v>
      </c>
      <c r="I1113" t="str">
        <f>"101050002022522"</f>
        <v>101050002022522</v>
      </c>
      <c r="J1113" t="str">
        <f t="shared" si="224"/>
        <v>515120</v>
      </c>
      <c r="K1113" t="s">
        <v>2</v>
      </c>
      <c r="L1113">
        <v>49</v>
      </c>
      <c r="M1113">
        <v>49</v>
      </c>
      <c r="N1113">
        <v>0</v>
      </c>
      <c r="O1113" s="1">
        <v>45583.346631944441</v>
      </c>
      <c r="P1113" t="s">
        <v>122</v>
      </c>
    </row>
    <row r="1114" spans="1:16" x14ac:dyDescent="0.3">
      <c r="A1114" t="s">
        <v>25</v>
      </c>
      <c r="B1114" s="1">
        <v>45583.346631944441</v>
      </c>
      <c r="C1114" t="str">
        <f t="shared" si="223"/>
        <v>41</v>
      </c>
      <c r="D1114" t="s">
        <v>120</v>
      </c>
      <c r="E1114" t="s">
        <v>116</v>
      </c>
      <c r="F1114" t="s">
        <v>117</v>
      </c>
      <c r="H1114" t="s">
        <v>335</v>
      </c>
      <c r="I1114" t="str">
        <f>"101050002022404"</f>
        <v>101050002022404</v>
      </c>
      <c r="J1114" t="str">
        <f t="shared" si="224"/>
        <v>515120</v>
      </c>
      <c r="K1114" t="s">
        <v>2</v>
      </c>
      <c r="L1114">
        <v>49</v>
      </c>
      <c r="M1114">
        <v>49</v>
      </c>
      <c r="N1114">
        <v>0</v>
      </c>
      <c r="O1114" s="1">
        <v>45583.346631944441</v>
      </c>
      <c r="P1114" t="s">
        <v>122</v>
      </c>
    </row>
    <row r="1115" spans="1:16" x14ac:dyDescent="0.3">
      <c r="A1115" t="s">
        <v>25</v>
      </c>
      <c r="B1115" s="1">
        <v>45583.346516203703</v>
      </c>
      <c r="C1115" t="str">
        <f>"38"</f>
        <v>38</v>
      </c>
      <c r="D1115" t="s">
        <v>115</v>
      </c>
      <c r="E1115" t="s">
        <v>116</v>
      </c>
      <c r="F1115" t="s">
        <v>117</v>
      </c>
      <c r="H1115" t="s">
        <v>336</v>
      </c>
      <c r="L1115">
        <v>0</v>
      </c>
      <c r="M1115">
        <v>0</v>
      </c>
      <c r="N1115">
        <v>0</v>
      </c>
      <c r="O1115" s="1">
        <v>45583.346516203703</v>
      </c>
      <c r="P1115" t="s">
        <v>132</v>
      </c>
    </row>
    <row r="1116" spans="1:16" x14ac:dyDescent="0.3">
      <c r="A1116" t="s">
        <v>25</v>
      </c>
      <c r="B1116" s="1">
        <v>45583.346168981479</v>
      </c>
      <c r="C1116" t="str">
        <f>"38"</f>
        <v>38</v>
      </c>
      <c r="D1116" t="s">
        <v>115</v>
      </c>
      <c r="E1116" t="s">
        <v>116</v>
      </c>
      <c r="F1116" t="s">
        <v>117</v>
      </c>
      <c r="H1116" t="s">
        <v>337</v>
      </c>
      <c r="L1116">
        <v>0</v>
      </c>
      <c r="M1116">
        <v>0</v>
      </c>
      <c r="N1116">
        <v>0</v>
      </c>
      <c r="O1116" s="1">
        <v>45583.346168981479</v>
      </c>
      <c r="P1116" t="s">
        <v>125</v>
      </c>
    </row>
    <row r="1117" spans="1:16" x14ac:dyDescent="0.3">
      <c r="A1117" t="s">
        <v>25</v>
      </c>
      <c r="B1117" s="1">
        <v>45583.346168981479</v>
      </c>
      <c r="C1117" t="str">
        <f t="shared" ref="C1117:C1123" si="225">"41"</f>
        <v>41</v>
      </c>
      <c r="D1117" t="s">
        <v>120</v>
      </c>
      <c r="E1117" t="s">
        <v>116</v>
      </c>
      <c r="F1117" t="s">
        <v>117</v>
      </c>
      <c r="H1117" t="s">
        <v>337</v>
      </c>
      <c r="I1117" t="str">
        <f>"101050002025712"</f>
        <v>101050002025712</v>
      </c>
      <c r="J1117" t="str">
        <f t="shared" ref="J1117:J1123" si="226">"515123"</f>
        <v>515123</v>
      </c>
      <c r="K1117" t="s">
        <v>19</v>
      </c>
      <c r="L1117">
        <v>49</v>
      </c>
      <c r="M1117">
        <v>49</v>
      </c>
      <c r="N1117">
        <v>0</v>
      </c>
      <c r="O1117" s="1">
        <v>45583.346168981479</v>
      </c>
      <c r="P1117" t="s">
        <v>125</v>
      </c>
    </row>
    <row r="1118" spans="1:16" x14ac:dyDescent="0.3">
      <c r="A1118" t="s">
        <v>25</v>
      </c>
      <c r="B1118" s="1">
        <v>45583.346168981479</v>
      </c>
      <c r="C1118" t="str">
        <f t="shared" si="225"/>
        <v>41</v>
      </c>
      <c r="D1118" t="s">
        <v>120</v>
      </c>
      <c r="E1118" t="s">
        <v>116</v>
      </c>
      <c r="F1118" t="s">
        <v>117</v>
      </c>
      <c r="H1118" t="s">
        <v>337</v>
      </c>
      <c r="I1118" t="str">
        <f>"101050002025688"</f>
        <v>101050002025688</v>
      </c>
      <c r="J1118" t="str">
        <f t="shared" si="226"/>
        <v>515123</v>
      </c>
      <c r="K1118" t="s">
        <v>19</v>
      </c>
      <c r="L1118">
        <v>49</v>
      </c>
      <c r="M1118">
        <v>49</v>
      </c>
      <c r="N1118">
        <v>0</v>
      </c>
      <c r="O1118" s="1">
        <v>45583.346168981479</v>
      </c>
      <c r="P1118" t="s">
        <v>125</v>
      </c>
    </row>
    <row r="1119" spans="1:16" x14ac:dyDescent="0.3">
      <c r="A1119" t="s">
        <v>25</v>
      </c>
      <c r="B1119" s="1">
        <v>45583.346168981479</v>
      </c>
      <c r="C1119" t="str">
        <f t="shared" si="225"/>
        <v>41</v>
      </c>
      <c r="D1119" t="s">
        <v>120</v>
      </c>
      <c r="E1119" t="s">
        <v>116</v>
      </c>
      <c r="F1119" t="s">
        <v>117</v>
      </c>
      <c r="H1119" t="s">
        <v>337</v>
      </c>
      <c r="I1119" t="str">
        <f>"101050002024151"</f>
        <v>101050002024151</v>
      </c>
      <c r="J1119" t="str">
        <f t="shared" si="226"/>
        <v>515123</v>
      </c>
      <c r="K1119" t="s">
        <v>19</v>
      </c>
      <c r="L1119">
        <v>49</v>
      </c>
      <c r="M1119">
        <v>49</v>
      </c>
      <c r="N1119">
        <v>0</v>
      </c>
      <c r="O1119" s="1">
        <v>45583.346168981479</v>
      </c>
      <c r="P1119" t="s">
        <v>125</v>
      </c>
    </row>
    <row r="1120" spans="1:16" x14ac:dyDescent="0.3">
      <c r="A1120" t="s">
        <v>25</v>
      </c>
      <c r="B1120" s="1">
        <v>45583.346168981479</v>
      </c>
      <c r="C1120" t="str">
        <f t="shared" si="225"/>
        <v>41</v>
      </c>
      <c r="D1120" t="s">
        <v>120</v>
      </c>
      <c r="E1120" t="s">
        <v>116</v>
      </c>
      <c r="F1120" t="s">
        <v>117</v>
      </c>
      <c r="H1120" t="s">
        <v>337</v>
      </c>
      <c r="I1120" t="str">
        <f>"101050002015961"</f>
        <v>101050002015961</v>
      </c>
      <c r="J1120" t="str">
        <f t="shared" si="226"/>
        <v>515123</v>
      </c>
      <c r="K1120" t="s">
        <v>19</v>
      </c>
      <c r="L1120">
        <v>49</v>
      </c>
      <c r="M1120">
        <v>49</v>
      </c>
      <c r="N1120">
        <v>0</v>
      </c>
      <c r="O1120" s="1">
        <v>45583.346168981479</v>
      </c>
      <c r="P1120" t="s">
        <v>125</v>
      </c>
    </row>
    <row r="1121" spans="1:16" x14ac:dyDescent="0.3">
      <c r="A1121" t="s">
        <v>25</v>
      </c>
      <c r="B1121" s="1">
        <v>45583.34615740741</v>
      </c>
      <c r="C1121" t="str">
        <f t="shared" si="225"/>
        <v>41</v>
      </c>
      <c r="D1121" t="s">
        <v>120</v>
      </c>
      <c r="E1121" t="s">
        <v>116</v>
      </c>
      <c r="F1121" t="s">
        <v>117</v>
      </c>
      <c r="H1121" t="s">
        <v>337</v>
      </c>
      <c r="I1121" t="str">
        <f>"101050002025711"</f>
        <v>101050002025711</v>
      </c>
      <c r="J1121" t="str">
        <f t="shared" si="226"/>
        <v>515123</v>
      </c>
      <c r="K1121" t="s">
        <v>19</v>
      </c>
      <c r="L1121">
        <v>49</v>
      </c>
      <c r="M1121">
        <v>49</v>
      </c>
      <c r="N1121">
        <v>0</v>
      </c>
      <c r="O1121" s="1">
        <v>45583.34615740741</v>
      </c>
      <c r="P1121" t="s">
        <v>125</v>
      </c>
    </row>
    <row r="1122" spans="1:16" x14ac:dyDescent="0.3">
      <c r="A1122" t="s">
        <v>25</v>
      </c>
      <c r="B1122" s="1">
        <v>45583.34615740741</v>
      </c>
      <c r="C1122" t="str">
        <f t="shared" si="225"/>
        <v>41</v>
      </c>
      <c r="D1122" t="s">
        <v>120</v>
      </c>
      <c r="E1122" t="s">
        <v>116</v>
      </c>
      <c r="F1122" t="s">
        <v>117</v>
      </c>
      <c r="H1122" t="s">
        <v>337</v>
      </c>
      <c r="I1122" t="str">
        <f>"101050002024236"</f>
        <v>101050002024236</v>
      </c>
      <c r="J1122" t="str">
        <f t="shared" si="226"/>
        <v>515123</v>
      </c>
      <c r="K1122" t="s">
        <v>19</v>
      </c>
      <c r="L1122">
        <v>49</v>
      </c>
      <c r="M1122">
        <v>49</v>
      </c>
      <c r="N1122">
        <v>0</v>
      </c>
      <c r="O1122" s="1">
        <v>45583.34615740741</v>
      </c>
      <c r="P1122" t="s">
        <v>125</v>
      </c>
    </row>
    <row r="1123" spans="1:16" x14ac:dyDescent="0.3">
      <c r="A1123" t="s">
        <v>25</v>
      </c>
      <c r="B1123" s="1">
        <v>45583.34615740741</v>
      </c>
      <c r="C1123" t="str">
        <f t="shared" si="225"/>
        <v>41</v>
      </c>
      <c r="D1123" t="s">
        <v>120</v>
      </c>
      <c r="E1123" t="s">
        <v>116</v>
      </c>
      <c r="F1123" t="s">
        <v>117</v>
      </c>
      <c r="H1123" t="s">
        <v>337</v>
      </c>
      <c r="I1123" t="str">
        <f>"101050002024557"</f>
        <v>101050002024557</v>
      </c>
      <c r="J1123" t="str">
        <f t="shared" si="226"/>
        <v>515123</v>
      </c>
      <c r="K1123" t="s">
        <v>19</v>
      </c>
      <c r="L1123">
        <v>49</v>
      </c>
      <c r="M1123">
        <v>49</v>
      </c>
      <c r="N1123">
        <v>0</v>
      </c>
      <c r="O1123" s="1">
        <v>45583.34615740741</v>
      </c>
      <c r="P1123" t="s">
        <v>125</v>
      </c>
    </row>
    <row r="1124" spans="1:16" x14ac:dyDescent="0.3">
      <c r="A1124" t="s">
        <v>25</v>
      </c>
      <c r="B1124" s="1">
        <v>45583.348310185182</v>
      </c>
      <c r="C1124" t="str">
        <f>"38"</f>
        <v>38</v>
      </c>
      <c r="D1124" t="s">
        <v>115</v>
      </c>
      <c r="E1124" t="s">
        <v>116</v>
      </c>
      <c r="F1124" t="s">
        <v>117</v>
      </c>
      <c r="H1124" t="s">
        <v>338</v>
      </c>
      <c r="L1124">
        <v>0</v>
      </c>
      <c r="M1124">
        <v>0</v>
      </c>
      <c r="N1124">
        <v>0</v>
      </c>
      <c r="O1124" s="1">
        <v>45583.348310185182</v>
      </c>
      <c r="P1124" t="s">
        <v>138</v>
      </c>
    </row>
    <row r="1125" spans="1:16" x14ac:dyDescent="0.3">
      <c r="A1125" t="s">
        <v>25</v>
      </c>
      <c r="B1125" s="1">
        <v>45583.348310185182</v>
      </c>
      <c r="C1125" t="str">
        <f t="shared" ref="C1125:C1131" si="227">"41"</f>
        <v>41</v>
      </c>
      <c r="D1125" t="s">
        <v>120</v>
      </c>
      <c r="E1125" t="s">
        <v>116</v>
      </c>
      <c r="F1125" t="s">
        <v>117</v>
      </c>
      <c r="H1125" t="s">
        <v>338</v>
      </c>
      <c r="I1125" t="str">
        <f>"101050002023325"</f>
        <v>101050002023325</v>
      </c>
      <c r="J1125" t="str">
        <f t="shared" ref="J1125:J1131" si="228">"515122"</f>
        <v>515122</v>
      </c>
      <c r="K1125" t="s">
        <v>4</v>
      </c>
      <c r="L1125">
        <v>49</v>
      </c>
      <c r="M1125">
        <v>49</v>
      </c>
      <c r="N1125">
        <v>0</v>
      </c>
      <c r="O1125" s="1">
        <v>45583.348310185182</v>
      </c>
      <c r="P1125" t="s">
        <v>138</v>
      </c>
    </row>
    <row r="1126" spans="1:16" x14ac:dyDescent="0.3">
      <c r="A1126" t="s">
        <v>25</v>
      </c>
      <c r="B1126" s="1">
        <v>45583.348310185182</v>
      </c>
      <c r="C1126" t="str">
        <f t="shared" si="227"/>
        <v>41</v>
      </c>
      <c r="D1126" t="s">
        <v>120</v>
      </c>
      <c r="E1126" t="s">
        <v>116</v>
      </c>
      <c r="F1126" t="s">
        <v>117</v>
      </c>
      <c r="H1126" t="s">
        <v>338</v>
      </c>
      <c r="I1126" t="str">
        <f>"101050002021988"</f>
        <v>101050002021988</v>
      </c>
      <c r="J1126" t="str">
        <f t="shared" si="228"/>
        <v>515122</v>
      </c>
      <c r="K1126" t="s">
        <v>4</v>
      </c>
      <c r="L1126">
        <v>49</v>
      </c>
      <c r="M1126">
        <v>49</v>
      </c>
      <c r="N1126">
        <v>0</v>
      </c>
      <c r="O1126" s="1">
        <v>45583.348310185182</v>
      </c>
      <c r="P1126" t="s">
        <v>138</v>
      </c>
    </row>
    <row r="1127" spans="1:16" x14ac:dyDescent="0.3">
      <c r="A1127" t="s">
        <v>25</v>
      </c>
      <c r="B1127" s="1">
        <v>45583.348298611112</v>
      </c>
      <c r="C1127" t="str">
        <f t="shared" si="227"/>
        <v>41</v>
      </c>
      <c r="D1127" t="s">
        <v>120</v>
      </c>
      <c r="E1127" t="s">
        <v>116</v>
      </c>
      <c r="F1127" t="s">
        <v>117</v>
      </c>
      <c r="H1127" t="s">
        <v>338</v>
      </c>
      <c r="I1127" t="str">
        <f>"101050002021989"</f>
        <v>101050002021989</v>
      </c>
      <c r="J1127" t="str">
        <f t="shared" si="228"/>
        <v>515122</v>
      </c>
      <c r="K1127" t="s">
        <v>4</v>
      </c>
      <c r="L1127">
        <v>49</v>
      </c>
      <c r="M1127">
        <v>49</v>
      </c>
      <c r="N1127">
        <v>0</v>
      </c>
      <c r="O1127" s="1">
        <v>45583.348298611112</v>
      </c>
      <c r="P1127" t="s">
        <v>138</v>
      </c>
    </row>
    <row r="1128" spans="1:16" x14ac:dyDescent="0.3">
      <c r="A1128" t="s">
        <v>25</v>
      </c>
      <c r="B1128" s="1">
        <v>45583.348298611112</v>
      </c>
      <c r="C1128" t="str">
        <f t="shared" si="227"/>
        <v>41</v>
      </c>
      <c r="D1128" t="s">
        <v>120</v>
      </c>
      <c r="E1128" t="s">
        <v>116</v>
      </c>
      <c r="F1128" t="s">
        <v>117</v>
      </c>
      <c r="H1128" t="s">
        <v>338</v>
      </c>
      <c r="I1128" t="str">
        <f>"101050002023324"</f>
        <v>101050002023324</v>
      </c>
      <c r="J1128" t="str">
        <f t="shared" si="228"/>
        <v>515122</v>
      </c>
      <c r="K1128" t="s">
        <v>4</v>
      </c>
      <c r="L1128">
        <v>49</v>
      </c>
      <c r="M1128">
        <v>49</v>
      </c>
      <c r="N1128">
        <v>0</v>
      </c>
      <c r="O1128" s="1">
        <v>45583.348298611112</v>
      </c>
      <c r="P1128" t="s">
        <v>138</v>
      </c>
    </row>
    <row r="1129" spans="1:16" x14ac:dyDescent="0.3">
      <c r="A1129" t="s">
        <v>25</v>
      </c>
      <c r="B1129" s="1">
        <v>45583.348298611112</v>
      </c>
      <c r="C1129" t="str">
        <f t="shared" si="227"/>
        <v>41</v>
      </c>
      <c r="D1129" t="s">
        <v>120</v>
      </c>
      <c r="E1129" t="s">
        <v>116</v>
      </c>
      <c r="F1129" t="s">
        <v>117</v>
      </c>
      <c r="H1129" t="s">
        <v>338</v>
      </c>
      <c r="I1129" t="str">
        <f>"101050002022029"</f>
        <v>101050002022029</v>
      </c>
      <c r="J1129" t="str">
        <f t="shared" si="228"/>
        <v>515122</v>
      </c>
      <c r="K1129" t="s">
        <v>4</v>
      </c>
      <c r="L1129">
        <v>49</v>
      </c>
      <c r="M1129">
        <v>49</v>
      </c>
      <c r="N1129">
        <v>0</v>
      </c>
      <c r="O1129" s="1">
        <v>45583.348298611112</v>
      </c>
      <c r="P1129" t="s">
        <v>138</v>
      </c>
    </row>
    <row r="1130" spans="1:16" x14ac:dyDescent="0.3">
      <c r="A1130" t="s">
        <v>25</v>
      </c>
      <c r="B1130" s="1">
        <v>45583.348298611112</v>
      </c>
      <c r="C1130" t="str">
        <f t="shared" si="227"/>
        <v>41</v>
      </c>
      <c r="D1130" t="s">
        <v>120</v>
      </c>
      <c r="E1130" t="s">
        <v>116</v>
      </c>
      <c r="F1130" t="s">
        <v>117</v>
      </c>
      <c r="H1130" t="s">
        <v>338</v>
      </c>
      <c r="I1130" t="str">
        <f>"101050002021987"</f>
        <v>101050002021987</v>
      </c>
      <c r="J1130" t="str">
        <f t="shared" si="228"/>
        <v>515122</v>
      </c>
      <c r="K1130" t="s">
        <v>4</v>
      </c>
      <c r="L1130">
        <v>49</v>
      </c>
      <c r="M1130">
        <v>49</v>
      </c>
      <c r="N1130">
        <v>0</v>
      </c>
      <c r="O1130" s="1">
        <v>45583.348298611112</v>
      </c>
      <c r="P1130" t="s">
        <v>138</v>
      </c>
    </row>
    <row r="1131" spans="1:16" x14ac:dyDescent="0.3">
      <c r="A1131" t="s">
        <v>25</v>
      </c>
      <c r="B1131" s="1">
        <v>45583.348298611112</v>
      </c>
      <c r="C1131" t="str">
        <f t="shared" si="227"/>
        <v>41</v>
      </c>
      <c r="D1131" t="s">
        <v>120</v>
      </c>
      <c r="E1131" t="s">
        <v>116</v>
      </c>
      <c r="F1131" t="s">
        <v>117</v>
      </c>
      <c r="H1131" t="s">
        <v>338</v>
      </c>
      <c r="I1131" t="str">
        <f>"101050002021986"</f>
        <v>101050002021986</v>
      </c>
      <c r="J1131" t="str">
        <f t="shared" si="228"/>
        <v>515122</v>
      </c>
      <c r="K1131" t="s">
        <v>4</v>
      </c>
      <c r="L1131">
        <v>49</v>
      </c>
      <c r="M1131">
        <v>49</v>
      </c>
      <c r="N1131">
        <v>0</v>
      </c>
      <c r="O1131" s="1">
        <v>45583.348298611112</v>
      </c>
      <c r="P1131" t="s">
        <v>138</v>
      </c>
    </row>
    <row r="1132" spans="1:16" x14ac:dyDescent="0.3">
      <c r="A1132" t="s">
        <v>25</v>
      </c>
      <c r="B1132" s="1">
        <v>45583.34778935185</v>
      </c>
      <c r="C1132" t="str">
        <f>"38"</f>
        <v>38</v>
      </c>
      <c r="D1132" t="s">
        <v>115</v>
      </c>
      <c r="E1132" t="s">
        <v>116</v>
      </c>
      <c r="F1132" t="s">
        <v>117</v>
      </c>
      <c r="H1132" t="s">
        <v>339</v>
      </c>
      <c r="L1132">
        <v>0</v>
      </c>
      <c r="M1132">
        <v>0</v>
      </c>
      <c r="N1132">
        <v>0</v>
      </c>
      <c r="O1132" s="1">
        <v>45583.34778935185</v>
      </c>
      <c r="P1132" t="s">
        <v>138</v>
      </c>
    </row>
    <row r="1133" spans="1:16" x14ac:dyDescent="0.3">
      <c r="A1133" t="s">
        <v>25</v>
      </c>
      <c r="B1133" s="1">
        <v>45583.34778935185</v>
      </c>
      <c r="C1133" t="str">
        <f t="shared" ref="C1133:C1139" si="229">"41"</f>
        <v>41</v>
      </c>
      <c r="D1133" t="s">
        <v>120</v>
      </c>
      <c r="E1133" t="s">
        <v>116</v>
      </c>
      <c r="F1133" t="s">
        <v>117</v>
      </c>
      <c r="H1133" t="s">
        <v>339</v>
      </c>
      <c r="I1133" t="str">
        <f>"101050002023131"</f>
        <v>101050002023131</v>
      </c>
      <c r="J1133" t="str">
        <f t="shared" ref="J1133:J1139" si="230">"515120"</f>
        <v>515120</v>
      </c>
      <c r="K1133" t="s">
        <v>2</v>
      </c>
      <c r="L1133">
        <v>49</v>
      </c>
      <c r="M1133">
        <v>49</v>
      </c>
      <c r="N1133">
        <v>0</v>
      </c>
      <c r="O1133" s="1">
        <v>45583.34778935185</v>
      </c>
      <c r="P1133" t="s">
        <v>138</v>
      </c>
    </row>
    <row r="1134" spans="1:16" x14ac:dyDescent="0.3">
      <c r="A1134" t="s">
        <v>25</v>
      </c>
      <c r="B1134" s="1">
        <v>45583.34778935185</v>
      </c>
      <c r="C1134" t="str">
        <f t="shared" si="229"/>
        <v>41</v>
      </c>
      <c r="D1134" t="s">
        <v>120</v>
      </c>
      <c r="E1134" t="s">
        <v>116</v>
      </c>
      <c r="F1134" t="s">
        <v>117</v>
      </c>
      <c r="H1134" t="s">
        <v>339</v>
      </c>
      <c r="I1134" t="str">
        <f>"101050002023339"</f>
        <v>101050002023339</v>
      </c>
      <c r="J1134" t="str">
        <f t="shared" si="230"/>
        <v>515120</v>
      </c>
      <c r="K1134" t="s">
        <v>2</v>
      </c>
      <c r="L1134">
        <v>49</v>
      </c>
      <c r="M1134">
        <v>49</v>
      </c>
      <c r="N1134">
        <v>0</v>
      </c>
      <c r="O1134" s="1">
        <v>45583.34778935185</v>
      </c>
      <c r="P1134" t="s">
        <v>138</v>
      </c>
    </row>
    <row r="1135" spans="1:16" x14ac:dyDescent="0.3">
      <c r="A1135" t="s">
        <v>25</v>
      </c>
      <c r="B1135" s="1">
        <v>45583.34778935185</v>
      </c>
      <c r="C1135" t="str">
        <f t="shared" si="229"/>
        <v>41</v>
      </c>
      <c r="D1135" t="s">
        <v>120</v>
      </c>
      <c r="E1135" t="s">
        <v>116</v>
      </c>
      <c r="F1135" t="s">
        <v>117</v>
      </c>
      <c r="H1135" t="s">
        <v>339</v>
      </c>
      <c r="I1135" t="str">
        <f>"101050002023446"</f>
        <v>101050002023446</v>
      </c>
      <c r="J1135" t="str">
        <f t="shared" si="230"/>
        <v>515120</v>
      </c>
      <c r="K1135" t="s">
        <v>2</v>
      </c>
      <c r="L1135">
        <v>49</v>
      </c>
      <c r="M1135">
        <v>49</v>
      </c>
      <c r="N1135">
        <v>0</v>
      </c>
      <c r="O1135" s="1">
        <v>45583.34778935185</v>
      </c>
      <c r="P1135" t="s">
        <v>138</v>
      </c>
    </row>
    <row r="1136" spans="1:16" x14ac:dyDescent="0.3">
      <c r="A1136" t="s">
        <v>25</v>
      </c>
      <c r="B1136" s="1">
        <v>45583.34778935185</v>
      </c>
      <c r="C1136" t="str">
        <f t="shared" si="229"/>
        <v>41</v>
      </c>
      <c r="D1136" t="s">
        <v>120</v>
      </c>
      <c r="E1136" t="s">
        <v>116</v>
      </c>
      <c r="F1136" t="s">
        <v>117</v>
      </c>
      <c r="H1136" t="s">
        <v>339</v>
      </c>
      <c r="I1136" t="str">
        <f>"101050002023398"</f>
        <v>101050002023398</v>
      </c>
      <c r="J1136" t="str">
        <f t="shared" si="230"/>
        <v>515120</v>
      </c>
      <c r="K1136" t="s">
        <v>2</v>
      </c>
      <c r="L1136">
        <v>49</v>
      </c>
      <c r="M1136">
        <v>49</v>
      </c>
      <c r="N1136">
        <v>0</v>
      </c>
      <c r="O1136" s="1">
        <v>45583.34778935185</v>
      </c>
      <c r="P1136" t="s">
        <v>138</v>
      </c>
    </row>
    <row r="1137" spans="1:16" x14ac:dyDescent="0.3">
      <c r="A1137" t="s">
        <v>25</v>
      </c>
      <c r="B1137" s="1">
        <v>45583.34778935185</v>
      </c>
      <c r="C1137" t="str">
        <f t="shared" si="229"/>
        <v>41</v>
      </c>
      <c r="D1137" t="s">
        <v>120</v>
      </c>
      <c r="E1137" t="s">
        <v>116</v>
      </c>
      <c r="F1137" t="s">
        <v>117</v>
      </c>
      <c r="H1137" t="s">
        <v>339</v>
      </c>
      <c r="I1137" t="str">
        <f>"101050002023366"</f>
        <v>101050002023366</v>
      </c>
      <c r="J1137" t="str">
        <f t="shared" si="230"/>
        <v>515120</v>
      </c>
      <c r="K1137" t="s">
        <v>2</v>
      </c>
      <c r="L1137">
        <v>49</v>
      </c>
      <c r="M1137">
        <v>49</v>
      </c>
      <c r="N1137">
        <v>0</v>
      </c>
      <c r="O1137" s="1">
        <v>45583.34778935185</v>
      </c>
      <c r="P1137" t="s">
        <v>138</v>
      </c>
    </row>
    <row r="1138" spans="1:16" x14ac:dyDescent="0.3">
      <c r="A1138" t="s">
        <v>25</v>
      </c>
      <c r="B1138" s="1">
        <v>45583.34778935185</v>
      </c>
      <c r="C1138" t="str">
        <f t="shared" si="229"/>
        <v>41</v>
      </c>
      <c r="D1138" t="s">
        <v>120</v>
      </c>
      <c r="E1138" t="s">
        <v>116</v>
      </c>
      <c r="F1138" t="s">
        <v>117</v>
      </c>
      <c r="H1138" t="s">
        <v>339</v>
      </c>
      <c r="I1138" t="str">
        <f>"101050002022831"</f>
        <v>101050002022831</v>
      </c>
      <c r="J1138" t="str">
        <f t="shared" si="230"/>
        <v>515120</v>
      </c>
      <c r="K1138" t="s">
        <v>2</v>
      </c>
      <c r="L1138">
        <v>49</v>
      </c>
      <c r="M1138">
        <v>49</v>
      </c>
      <c r="N1138">
        <v>0</v>
      </c>
      <c r="O1138" s="1">
        <v>45583.34778935185</v>
      </c>
      <c r="P1138" t="s">
        <v>138</v>
      </c>
    </row>
    <row r="1139" spans="1:16" x14ac:dyDescent="0.3">
      <c r="A1139" t="s">
        <v>25</v>
      </c>
      <c r="B1139" s="1">
        <v>45583.347777777781</v>
      </c>
      <c r="C1139" t="str">
        <f t="shared" si="229"/>
        <v>41</v>
      </c>
      <c r="D1139" t="s">
        <v>120</v>
      </c>
      <c r="E1139" t="s">
        <v>116</v>
      </c>
      <c r="F1139" t="s">
        <v>117</v>
      </c>
      <c r="H1139" t="s">
        <v>339</v>
      </c>
      <c r="I1139" t="str">
        <f>"101050002022770"</f>
        <v>101050002022770</v>
      </c>
      <c r="J1139" t="str">
        <f t="shared" si="230"/>
        <v>515120</v>
      </c>
      <c r="K1139" t="s">
        <v>2</v>
      </c>
      <c r="L1139">
        <v>49</v>
      </c>
      <c r="M1139">
        <v>49</v>
      </c>
      <c r="N1139">
        <v>0</v>
      </c>
      <c r="O1139" s="1">
        <v>45583.347777777781</v>
      </c>
      <c r="P1139" t="s">
        <v>138</v>
      </c>
    </row>
    <row r="1140" spans="1:16" x14ac:dyDescent="0.3">
      <c r="A1140" t="s">
        <v>25</v>
      </c>
      <c r="B1140" s="1">
        <v>45583.345671296294</v>
      </c>
      <c r="C1140" t="str">
        <f>"38"</f>
        <v>38</v>
      </c>
      <c r="D1140" t="s">
        <v>115</v>
      </c>
      <c r="E1140" t="s">
        <v>116</v>
      </c>
      <c r="F1140" t="s">
        <v>117</v>
      </c>
      <c r="H1140" t="s">
        <v>340</v>
      </c>
      <c r="L1140">
        <v>0</v>
      </c>
      <c r="M1140">
        <v>0</v>
      </c>
      <c r="N1140">
        <v>0</v>
      </c>
      <c r="O1140" s="1">
        <v>45583.345671296294</v>
      </c>
      <c r="P1140" t="s">
        <v>119</v>
      </c>
    </row>
    <row r="1141" spans="1:16" x14ac:dyDescent="0.3">
      <c r="A1141" t="s">
        <v>25</v>
      </c>
      <c r="B1141" s="1">
        <v>45583.345671296294</v>
      </c>
      <c r="C1141" t="str">
        <f t="shared" ref="C1141:C1147" si="231">"41"</f>
        <v>41</v>
      </c>
      <c r="D1141" t="s">
        <v>120</v>
      </c>
      <c r="E1141" t="s">
        <v>116</v>
      </c>
      <c r="F1141" t="s">
        <v>117</v>
      </c>
      <c r="H1141" t="s">
        <v>340</v>
      </c>
      <c r="I1141" t="str">
        <f>"101050002024427"</f>
        <v>101050002024427</v>
      </c>
      <c r="J1141" t="str">
        <f t="shared" ref="J1141:J1147" si="232">"515122"</f>
        <v>515122</v>
      </c>
      <c r="K1141" t="s">
        <v>4</v>
      </c>
      <c r="L1141">
        <v>49</v>
      </c>
      <c r="M1141">
        <v>49</v>
      </c>
      <c r="N1141">
        <v>0</v>
      </c>
      <c r="O1141" s="1">
        <v>45583.345671296294</v>
      </c>
      <c r="P1141" t="s">
        <v>119</v>
      </c>
    </row>
    <row r="1142" spans="1:16" x14ac:dyDescent="0.3">
      <c r="A1142" t="s">
        <v>25</v>
      </c>
      <c r="B1142" s="1">
        <v>45583.345671296294</v>
      </c>
      <c r="C1142" t="str">
        <f t="shared" si="231"/>
        <v>41</v>
      </c>
      <c r="D1142" t="s">
        <v>120</v>
      </c>
      <c r="E1142" t="s">
        <v>116</v>
      </c>
      <c r="F1142" t="s">
        <v>117</v>
      </c>
      <c r="H1142" t="s">
        <v>340</v>
      </c>
      <c r="I1142" t="str">
        <f>"101050002024624"</f>
        <v>101050002024624</v>
      </c>
      <c r="J1142" t="str">
        <f t="shared" si="232"/>
        <v>515122</v>
      </c>
      <c r="K1142" t="s">
        <v>4</v>
      </c>
      <c r="L1142">
        <v>49</v>
      </c>
      <c r="M1142">
        <v>49</v>
      </c>
      <c r="N1142">
        <v>0</v>
      </c>
      <c r="O1142" s="1">
        <v>45583.345671296294</v>
      </c>
      <c r="P1142" t="s">
        <v>119</v>
      </c>
    </row>
    <row r="1143" spans="1:16" x14ac:dyDescent="0.3">
      <c r="A1143" t="s">
        <v>25</v>
      </c>
      <c r="B1143" s="1">
        <v>45583.345671296294</v>
      </c>
      <c r="C1143" t="str">
        <f t="shared" si="231"/>
        <v>41</v>
      </c>
      <c r="D1143" t="s">
        <v>120</v>
      </c>
      <c r="E1143" t="s">
        <v>116</v>
      </c>
      <c r="F1143" t="s">
        <v>117</v>
      </c>
      <c r="H1143" t="s">
        <v>340</v>
      </c>
      <c r="I1143" t="str">
        <f>"101050002024625"</f>
        <v>101050002024625</v>
      </c>
      <c r="J1143" t="str">
        <f t="shared" si="232"/>
        <v>515122</v>
      </c>
      <c r="K1143" t="s">
        <v>4</v>
      </c>
      <c r="L1143">
        <v>49</v>
      </c>
      <c r="M1143">
        <v>49</v>
      </c>
      <c r="N1143">
        <v>0</v>
      </c>
      <c r="O1143" s="1">
        <v>45583.345671296294</v>
      </c>
      <c r="P1143" t="s">
        <v>119</v>
      </c>
    </row>
    <row r="1144" spans="1:16" x14ac:dyDescent="0.3">
      <c r="A1144" t="s">
        <v>25</v>
      </c>
      <c r="B1144" s="1">
        <v>45583.345659722225</v>
      </c>
      <c r="C1144" t="str">
        <f t="shared" si="231"/>
        <v>41</v>
      </c>
      <c r="D1144" t="s">
        <v>120</v>
      </c>
      <c r="E1144" t="s">
        <v>116</v>
      </c>
      <c r="F1144" t="s">
        <v>117</v>
      </c>
      <c r="H1144" t="s">
        <v>340</v>
      </c>
      <c r="I1144" t="str">
        <f>"101050002024622"</f>
        <v>101050002024622</v>
      </c>
      <c r="J1144" t="str">
        <f t="shared" si="232"/>
        <v>515122</v>
      </c>
      <c r="K1144" t="s">
        <v>4</v>
      </c>
      <c r="L1144">
        <v>49</v>
      </c>
      <c r="M1144">
        <v>49</v>
      </c>
      <c r="N1144">
        <v>0</v>
      </c>
      <c r="O1144" s="1">
        <v>45583.345659722225</v>
      </c>
      <c r="P1144" t="s">
        <v>119</v>
      </c>
    </row>
    <row r="1145" spans="1:16" x14ac:dyDescent="0.3">
      <c r="A1145" t="s">
        <v>25</v>
      </c>
      <c r="B1145" s="1">
        <v>45583.345659722225</v>
      </c>
      <c r="C1145" t="str">
        <f t="shared" si="231"/>
        <v>41</v>
      </c>
      <c r="D1145" t="s">
        <v>120</v>
      </c>
      <c r="E1145" t="s">
        <v>116</v>
      </c>
      <c r="F1145" t="s">
        <v>117</v>
      </c>
      <c r="H1145" t="s">
        <v>340</v>
      </c>
      <c r="I1145" t="str">
        <f>"101050002023267"</f>
        <v>101050002023267</v>
      </c>
      <c r="J1145" t="str">
        <f t="shared" si="232"/>
        <v>515122</v>
      </c>
      <c r="K1145" t="s">
        <v>4</v>
      </c>
      <c r="L1145">
        <v>49</v>
      </c>
      <c r="M1145">
        <v>49</v>
      </c>
      <c r="N1145">
        <v>0</v>
      </c>
      <c r="O1145" s="1">
        <v>45583.345659722225</v>
      </c>
      <c r="P1145" t="s">
        <v>119</v>
      </c>
    </row>
    <row r="1146" spans="1:16" x14ac:dyDescent="0.3">
      <c r="A1146" t="s">
        <v>25</v>
      </c>
      <c r="B1146" s="1">
        <v>45583.345659722225</v>
      </c>
      <c r="C1146" t="str">
        <f t="shared" si="231"/>
        <v>41</v>
      </c>
      <c r="D1146" t="s">
        <v>120</v>
      </c>
      <c r="E1146" t="s">
        <v>116</v>
      </c>
      <c r="F1146" t="s">
        <v>117</v>
      </c>
      <c r="H1146" t="s">
        <v>340</v>
      </c>
      <c r="I1146" t="str">
        <f>"101050002023321"</f>
        <v>101050002023321</v>
      </c>
      <c r="J1146" t="str">
        <f t="shared" si="232"/>
        <v>515122</v>
      </c>
      <c r="K1146" t="s">
        <v>4</v>
      </c>
      <c r="L1146">
        <v>49</v>
      </c>
      <c r="M1146">
        <v>49</v>
      </c>
      <c r="N1146">
        <v>0</v>
      </c>
      <c r="O1146" s="1">
        <v>45583.345659722225</v>
      </c>
      <c r="P1146" t="s">
        <v>119</v>
      </c>
    </row>
    <row r="1147" spans="1:16" x14ac:dyDescent="0.3">
      <c r="A1147" t="s">
        <v>25</v>
      </c>
      <c r="B1147" s="1">
        <v>45583.345659722225</v>
      </c>
      <c r="C1147" t="str">
        <f t="shared" si="231"/>
        <v>41</v>
      </c>
      <c r="D1147" t="s">
        <v>120</v>
      </c>
      <c r="E1147" t="s">
        <v>116</v>
      </c>
      <c r="F1147" t="s">
        <v>117</v>
      </c>
      <c r="H1147" t="s">
        <v>340</v>
      </c>
      <c r="I1147" t="str">
        <f>"101050002023322"</f>
        <v>101050002023322</v>
      </c>
      <c r="J1147" t="str">
        <f t="shared" si="232"/>
        <v>515122</v>
      </c>
      <c r="K1147" t="s">
        <v>4</v>
      </c>
      <c r="L1147">
        <v>49</v>
      </c>
      <c r="M1147">
        <v>49</v>
      </c>
      <c r="N1147">
        <v>0</v>
      </c>
      <c r="O1147" s="1">
        <v>45583.345659722225</v>
      </c>
      <c r="P1147" t="s">
        <v>119</v>
      </c>
    </row>
    <row r="1148" spans="1:16" x14ac:dyDescent="0.3">
      <c r="A1148" t="s">
        <v>25</v>
      </c>
      <c r="B1148" s="1">
        <v>45583.345324074071</v>
      </c>
      <c r="C1148" t="str">
        <f>"38"</f>
        <v>38</v>
      </c>
      <c r="D1148" t="s">
        <v>115</v>
      </c>
      <c r="E1148" t="s">
        <v>116</v>
      </c>
      <c r="F1148" t="s">
        <v>117</v>
      </c>
      <c r="H1148" t="s">
        <v>341</v>
      </c>
      <c r="L1148">
        <v>0</v>
      </c>
      <c r="M1148">
        <v>0</v>
      </c>
      <c r="N1148">
        <v>0</v>
      </c>
      <c r="O1148" s="1">
        <v>45583.345324074071</v>
      </c>
      <c r="P1148" t="s">
        <v>122</v>
      </c>
    </row>
    <row r="1149" spans="1:16" x14ac:dyDescent="0.3">
      <c r="A1149" t="s">
        <v>25</v>
      </c>
      <c r="B1149" s="1">
        <v>45583.345324074071</v>
      </c>
      <c r="C1149" t="str">
        <f>"41"</f>
        <v>41</v>
      </c>
      <c r="D1149" t="s">
        <v>120</v>
      </c>
      <c r="E1149" t="s">
        <v>116</v>
      </c>
      <c r="F1149" t="s">
        <v>117</v>
      </c>
      <c r="H1149" t="s">
        <v>341</v>
      </c>
      <c r="I1149" t="str">
        <f>"101050001978230"</f>
        <v>101050001978230</v>
      </c>
      <c r="J1149" t="str">
        <f>"514568"</f>
        <v>514568</v>
      </c>
      <c r="K1149" t="s">
        <v>87</v>
      </c>
      <c r="L1149">
        <v>49</v>
      </c>
      <c r="M1149">
        <v>49</v>
      </c>
      <c r="N1149">
        <v>0</v>
      </c>
      <c r="O1149" s="1">
        <v>45583.345324074071</v>
      </c>
      <c r="P1149" t="s">
        <v>122</v>
      </c>
    </row>
    <row r="1150" spans="1:16" x14ac:dyDescent="0.3">
      <c r="A1150" t="s">
        <v>25</v>
      </c>
      <c r="B1150" s="1">
        <v>45583.3437037037</v>
      </c>
      <c r="C1150" t="str">
        <f>"38"</f>
        <v>38</v>
      </c>
      <c r="D1150" t="s">
        <v>115</v>
      </c>
      <c r="E1150" t="s">
        <v>116</v>
      </c>
      <c r="F1150" t="s">
        <v>117</v>
      </c>
      <c r="H1150" t="s">
        <v>342</v>
      </c>
      <c r="L1150">
        <v>0</v>
      </c>
      <c r="M1150">
        <v>0</v>
      </c>
      <c r="N1150">
        <v>0</v>
      </c>
      <c r="O1150" s="1">
        <v>45583.3437037037</v>
      </c>
      <c r="P1150" t="s">
        <v>122</v>
      </c>
    </row>
    <row r="1151" spans="1:16" x14ac:dyDescent="0.3">
      <c r="A1151" t="s">
        <v>25</v>
      </c>
      <c r="B1151" s="1">
        <v>45583.3437037037</v>
      </c>
      <c r="C1151" t="str">
        <f>"41"</f>
        <v>41</v>
      </c>
      <c r="D1151" t="s">
        <v>120</v>
      </c>
      <c r="E1151" t="s">
        <v>116</v>
      </c>
      <c r="F1151" t="s">
        <v>117</v>
      </c>
      <c r="H1151" t="s">
        <v>342</v>
      </c>
      <c r="I1151" t="str">
        <f>"101050001988157"</f>
        <v>101050001988157</v>
      </c>
      <c r="J1151" t="str">
        <f>"128376"</f>
        <v>128376</v>
      </c>
      <c r="K1151" t="s">
        <v>67</v>
      </c>
      <c r="L1151">
        <v>49</v>
      </c>
      <c r="M1151">
        <v>49</v>
      </c>
      <c r="N1151">
        <v>0</v>
      </c>
      <c r="O1151" s="1">
        <v>45583.3437037037</v>
      </c>
      <c r="P1151" t="s">
        <v>122</v>
      </c>
    </row>
    <row r="1152" spans="1:16" x14ac:dyDescent="0.3">
      <c r="A1152" t="s">
        <v>25</v>
      </c>
      <c r="B1152" s="1">
        <v>45583.3437037037</v>
      </c>
      <c r="C1152" t="str">
        <f>"41"</f>
        <v>41</v>
      </c>
      <c r="D1152" t="s">
        <v>120</v>
      </c>
      <c r="E1152" t="s">
        <v>116</v>
      </c>
      <c r="F1152" t="s">
        <v>117</v>
      </c>
      <c r="H1152" t="s">
        <v>342</v>
      </c>
      <c r="I1152" t="str">
        <f>"101050001988132"</f>
        <v>101050001988132</v>
      </c>
      <c r="J1152" t="str">
        <f>"128376"</f>
        <v>128376</v>
      </c>
      <c r="K1152" t="s">
        <v>67</v>
      </c>
      <c r="L1152">
        <v>49</v>
      </c>
      <c r="M1152">
        <v>49</v>
      </c>
      <c r="N1152">
        <v>0</v>
      </c>
      <c r="O1152" s="1">
        <v>45583.3437037037</v>
      </c>
      <c r="P1152" t="s">
        <v>122</v>
      </c>
    </row>
    <row r="1153" spans="1:16" x14ac:dyDescent="0.3">
      <c r="A1153" t="s">
        <v>25</v>
      </c>
      <c r="B1153" s="1">
        <v>45583.343692129631</v>
      </c>
      <c r="C1153" t="str">
        <f>"41"</f>
        <v>41</v>
      </c>
      <c r="D1153" t="s">
        <v>120</v>
      </c>
      <c r="E1153" t="s">
        <v>116</v>
      </c>
      <c r="F1153" t="s">
        <v>117</v>
      </c>
      <c r="H1153" t="s">
        <v>342</v>
      </c>
      <c r="I1153" t="str">
        <f>"101050001987571"</f>
        <v>101050001987571</v>
      </c>
      <c r="J1153" t="str">
        <f>"128376"</f>
        <v>128376</v>
      </c>
      <c r="K1153" t="s">
        <v>67</v>
      </c>
      <c r="L1153">
        <v>49</v>
      </c>
      <c r="M1153">
        <v>49</v>
      </c>
      <c r="N1153">
        <v>0</v>
      </c>
      <c r="O1153" s="1">
        <v>45583.343692129631</v>
      </c>
      <c r="P1153" t="s">
        <v>122</v>
      </c>
    </row>
    <row r="1154" spans="1:16" x14ac:dyDescent="0.3">
      <c r="A1154" t="s">
        <v>25</v>
      </c>
      <c r="B1154" s="1">
        <v>45583.343692129631</v>
      </c>
      <c r="C1154" t="str">
        <f>"41"</f>
        <v>41</v>
      </c>
      <c r="D1154" t="s">
        <v>120</v>
      </c>
      <c r="E1154" t="s">
        <v>116</v>
      </c>
      <c r="F1154" t="s">
        <v>117</v>
      </c>
      <c r="H1154" t="s">
        <v>342</v>
      </c>
      <c r="I1154" t="str">
        <f>"101050001987674"</f>
        <v>101050001987674</v>
      </c>
      <c r="J1154" t="str">
        <f>"128376"</f>
        <v>128376</v>
      </c>
      <c r="K1154" t="s">
        <v>67</v>
      </c>
      <c r="L1154">
        <v>49</v>
      </c>
      <c r="M1154">
        <v>49</v>
      </c>
      <c r="N1154">
        <v>0</v>
      </c>
      <c r="O1154" s="1">
        <v>45583.343692129631</v>
      </c>
      <c r="P1154" t="s">
        <v>122</v>
      </c>
    </row>
    <row r="1155" spans="1:16" x14ac:dyDescent="0.3">
      <c r="A1155" t="s">
        <v>25</v>
      </c>
      <c r="B1155" s="1">
        <v>45583.342789351853</v>
      </c>
      <c r="C1155" t="str">
        <f>"38"</f>
        <v>38</v>
      </c>
      <c r="D1155" t="s">
        <v>115</v>
      </c>
      <c r="E1155" t="s">
        <v>116</v>
      </c>
      <c r="F1155" t="s">
        <v>117</v>
      </c>
      <c r="H1155" t="s">
        <v>343</v>
      </c>
      <c r="L1155">
        <v>0</v>
      </c>
      <c r="M1155">
        <v>0</v>
      </c>
      <c r="N1155">
        <v>0</v>
      </c>
      <c r="O1155" s="1">
        <v>45583.342789351853</v>
      </c>
      <c r="P1155" t="s">
        <v>119</v>
      </c>
    </row>
    <row r="1156" spans="1:16" x14ac:dyDescent="0.3">
      <c r="A1156" t="s">
        <v>25</v>
      </c>
      <c r="B1156" s="1">
        <v>45583.342789351853</v>
      </c>
      <c r="C1156" t="str">
        <f t="shared" ref="C1156:C1162" si="233">"41"</f>
        <v>41</v>
      </c>
      <c r="D1156" t="s">
        <v>120</v>
      </c>
      <c r="E1156" t="s">
        <v>116</v>
      </c>
      <c r="F1156" t="s">
        <v>117</v>
      </c>
      <c r="H1156" t="s">
        <v>343</v>
      </c>
      <c r="I1156" t="str">
        <f>"101050002021076"</f>
        <v>101050002021076</v>
      </c>
      <c r="J1156" t="str">
        <f t="shared" ref="J1156:J1162" si="234">"515120"</f>
        <v>515120</v>
      </c>
      <c r="K1156" t="s">
        <v>2</v>
      </c>
      <c r="L1156">
        <v>49</v>
      </c>
      <c r="M1156">
        <v>49</v>
      </c>
      <c r="N1156">
        <v>0</v>
      </c>
      <c r="O1156" s="1">
        <v>45583.342789351853</v>
      </c>
      <c r="P1156" t="s">
        <v>119</v>
      </c>
    </row>
    <row r="1157" spans="1:16" x14ac:dyDescent="0.3">
      <c r="A1157" t="s">
        <v>25</v>
      </c>
      <c r="B1157" s="1">
        <v>45583.342789351853</v>
      </c>
      <c r="C1157" t="str">
        <f t="shared" si="233"/>
        <v>41</v>
      </c>
      <c r="D1157" t="s">
        <v>120</v>
      </c>
      <c r="E1157" t="s">
        <v>116</v>
      </c>
      <c r="F1157" t="s">
        <v>117</v>
      </c>
      <c r="H1157" t="s">
        <v>343</v>
      </c>
      <c r="I1157" t="str">
        <f>"101050002026351"</f>
        <v>101050002026351</v>
      </c>
      <c r="J1157" t="str">
        <f t="shared" si="234"/>
        <v>515120</v>
      </c>
      <c r="K1157" t="s">
        <v>2</v>
      </c>
      <c r="L1157">
        <v>49</v>
      </c>
      <c r="M1157">
        <v>49</v>
      </c>
      <c r="N1157">
        <v>0</v>
      </c>
      <c r="O1157" s="1">
        <v>45583.342789351853</v>
      </c>
      <c r="P1157" t="s">
        <v>119</v>
      </c>
    </row>
    <row r="1158" spans="1:16" x14ac:dyDescent="0.3">
      <c r="A1158" t="s">
        <v>25</v>
      </c>
      <c r="B1158" s="1">
        <v>45583.342789351853</v>
      </c>
      <c r="C1158" t="str">
        <f t="shared" si="233"/>
        <v>41</v>
      </c>
      <c r="D1158" t="s">
        <v>120</v>
      </c>
      <c r="E1158" t="s">
        <v>116</v>
      </c>
      <c r="F1158" t="s">
        <v>117</v>
      </c>
      <c r="H1158" t="s">
        <v>343</v>
      </c>
      <c r="I1158" t="str">
        <f>"101050002021769"</f>
        <v>101050002021769</v>
      </c>
      <c r="J1158" t="str">
        <f t="shared" si="234"/>
        <v>515120</v>
      </c>
      <c r="K1158" t="s">
        <v>2</v>
      </c>
      <c r="L1158">
        <v>49</v>
      </c>
      <c r="M1158">
        <v>49</v>
      </c>
      <c r="N1158">
        <v>0</v>
      </c>
      <c r="O1158" s="1">
        <v>45583.342789351853</v>
      </c>
      <c r="P1158" t="s">
        <v>119</v>
      </c>
    </row>
    <row r="1159" spans="1:16" x14ac:dyDescent="0.3">
      <c r="A1159" t="s">
        <v>25</v>
      </c>
      <c r="B1159" s="1">
        <v>45583.342777777776</v>
      </c>
      <c r="C1159" t="str">
        <f t="shared" si="233"/>
        <v>41</v>
      </c>
      <c r="D1159" t="s">
        <v>120</v>
      </c>
      <c r="E1159" t="s">
        <v>116</v>
      </c>
      <c r="F1159" t="s">
        <v>117</v>
      </c>
      <c r="H1159" t="s">
        <v>343</v>
      </c>
      <c r="I1159" t="str">
        <f>"101050002021964"</f>
        <v>101050002021964</v>
      </c>
      <c r="J1159" t="str">
        <f t="shared" si="234"/>
        <v>515120</v>
      </c>
      <c r="K1159" t="s">
        <v>2</v>
      </c>
      <c r="L1159">
        <v>49</v>
      </c>
      <c r="M1159">
        <v>49</v>
      </c>
      <c r="N1159">
        <v>0</v>
      </c>
      <c r="O1159" s="1">
        <v>45583.342777777776</v>
      </c>
      <c r="P1159" t="s">
        <v>119</v>
      </c>
    </row>
    <row r="1160" spans="1:16" x14ac:dyDescent="0.3">
      <c r="A1160" t="s">
        <v>25</v>
      </c>
      <c r="B1160" s="1">
        <v>45583.342777777776</v>
      </c>
      <c r="C1160" t="str">
        <f t="shared" si="233"/>
        <v>41</v>
      </c>
      <c r="D1160" t="s">
        <v>120</v>
      </c>
      <c r="E1160" t="s">
        <v>116</v>
      </c>
      <c r="F1160" t="s">
        <v>117</v>
      </c>
      <c r="H1160" t="s">
        <v>343</v>
      </c>
      <c r="I1160" t="str">
        <f>"101050002021904"</f>
        <v>101050002021904</v>
      </c>
      <c r="J1160" t="str">
        <f t="shared" si="234"/>
        <v>515120</v>
      </c>
      <c r="K1160" t="s">
        <v>2</v>
      </c>
      <c r="L1160">
        <v>49</v>
      </c>
      <c r="M1160">
        <v>49</v>
      </c>
      <c r="N1160">
        <v>0</v>
      </c>
      <c r="O1160" s="1">
        <v>45583.342777777776</v>
      </c>
      <c r="P1160" t="s">
        <v>119</v>
      </c>
    </row>
    <row r="1161" spans="1:16" x14ac:dyDescent="0.3">
      <c r="A1161" t="s">
        <v>25</v>
      </c>
      <c r="B1161" s="1">
        <v>45583.342777777776</v>
      </c>
      <c r="C1161" t="str">
        <f t="shared" si="233"/>
        <v>41</v>
      </c>
      <c r="D1161" t="s">
        <v>120</v>
      </c>
      <c r="E1161" t="s">
        <v>116</v>
      </c>
      <c r="F1161" t="s">
        <v>117</v>
      </c>
      <c r="H1161" t="s">
        <v>343</v>
      </c>
      <c r="I1161" t="str">
        <f>"101050002021983"</f>
        <v>101050002021983</v>
      </c>
      <c r="J1161" t="str">
        <f t="shared" si="234"/>
        <v>515120</v>
      </c>
      <c r="K1161" t="s">
        <v>2</v>
      </c>
      <c r="L1161">
        <v>49</v>
      </c>
      <c r="M1161">
        <v>49</v>
      </c>
      <c r="N1161">
        <v>0</v>
      </c>
      <c r="O1161" s="1">
        <v>45583.342777777776</v>
      </c>
      <c r="P1161" t="s">
        <v>119</v>
      </c>
    </row>
    <row r="1162" spans="1:16" x14ac:dyDescent="0.3">
      <c r="A1162" t="s">
        <v>25</v>
      </c>
      <c r="B1162" s="1">
        <v>45583.342777777776</v>
      </c>
      <c r="C1162" t="str">
        <f t="shared" si="233"/>
        <v>41</v>
      </c>
      <c r="D1162" t="s">
        <v>120</v>
      </c>
      <c r="E1162" t="s">
        <v>116</v>
      </c>
      <c r="F1162" t="s">
        <v>117</v>
      </c>
      <c r="H1162" t="s">
        <v>343</v>
      </c>
      <c r="I1162" t="str">
        <f>"101050002021078"</f>
        <v>101050002021078</v>
      </c>
      <c r="J1162" t="str">
        <f t="shared" si="234"/>
        <v>515120</v>
      </c>
      <c r="K1162" t="s">
        <v>2</v>
      </c>
      <c r="L1162">
        <v>49</v>
      </c>
      <c r="M1162">
        <v>49</v>
      </c>
      <c r="N1162">
        <v>0</v>
      </c>
      <c r="O1162" s="1">
        <v>45583.342777777776</v>
      </c>
      <c r="P1162" t="s">
        <v>119</v>
      </c>
    </row>
    <row r="1163" spans="1:16" x14ac:dyDescent="0.3">
      <c r="A1163" t="s">
        <v>25</v>
      </c>
      <c r="B1163" s="1">
        <v>45583.338923611111</v>
      </c>
      <c r="C1163" t="str">
        <f>"38"</f>
        <v>38</v>
      </c>
      <c r="D1163" t="s">
        <v>115</v>
      </c>
      <c r="E1163" t="s">
        <v>116</v>
      </c>
      <c r="F1163" t="s">
        <v>117</v>
      </c>
      <c r="H1163" t="s">
        <v>344</v>
      </c>
      <c r="L1163">
        <v>0</v>
      </c>
      <c r="M1163">
        <v>0</v>
      </c>
      <c r="N1163">
        <v>0</v>
      </c>
      <c r="O1163" s="1">
        <v>45583.338923611111</v>
      </c>
      <c r="P1163" t="s">
        <v>119</v>
      </c>
    </row>
    <row r="1164" spans="1:16" x14ac:dyDescent="0.3">
      <c r="A1164" t="s">
        <v>25</v>
      </c>
      <c r="B1164" s="1">
        <v>45583.338923611111</v>
      </c>
      <c r="C1164" t="str">
        <f t="shared" ref="C1164:C1170" si="235">"41"</f>
        <v>41</v>
      </c>
      <c r="D1164" t="s">
        <v>120</v>
      </c>
      <c r="E1164" t="s">
        <v>116</v>
      </c>
      <c r="F1164" t="s">
        <v>117</v>
      </c>
      <c r="H1164" t="s">
        <v>344</v>
      </c>
      <c r="I1164" t="str">
        <f>"101050002026046"</f>
        <v>101050002026046</v>
      </c>
      <c r="J1164" t="str">
        <f t="shared" ref="J1164:J1170" si="236">"515123"</f>
        <v>515123</v>
      </c>
      <c r="K1164" t="s">
        <v>19</v>
      </c>
      <c r="L1164">
        <v>49</v>
      </c>
      <c r="M1164">
        <v>49</v>
      </c>
      <c r="N1164">
        <v>0</v>
      </c>
      <c r="O1164" s="1">
        <v>45583.338923611111</v>
      </c>
      <c r="P1164" t="s">
        <v>119</v>
      </c>
    </row>
    <row r="1165" spans="1:16" x14ac:dyDescent="0.3">
      <c r="A1165" t="s">
        <v>25</v>
      </c>
      <c r="B1165" s="1">
        <v>45583.338923611111</v>
      </c>
      <c r="C1165" t="str">
        <f t="shared" si="235"/>
        <v>41</v>
      </c>
      <c r="D1165" t="s">
        <v>120</v>
      </c>
      <c r="E1165" t="s">
        <v>116</v>
      </c>
      <c r="F1165" t="s">
        <v>117</v>
      </c>
      <c r="H1165" t="s">
        <v>344</v>
      </c>
      <c r="I1165" t="str">
        <f>"101050002025713"</f>
        <v>101050002025713</v>
      </c>
      <c r="J1165" t="str">
        <f t="shared" si="236"/>
        <v>515123</v>
      </c>
      <c r="K1165" t="s">
        <v>19</v>
      </c>
      <c r="L1165">
        <v>49</v>
      </c>
      <c r="M1165">
        <v>49</v>
      </c>
      <c r="N1165">
        <v>0</v>
      </c>
      <c r="O1165" s="1">
        <v>45583.338923611111</v>
      </c>
      <c r="P1165" t="s">
        <v>119</v>
      </c>
    </row>
    <row r="1166" spans="1:16" x14ac:dyDescent="0.3">
      <c r="A1166" t="s">
        <v>25</v>
      </c>
      <c r="B1166" s="1">
        <v>45583.338912037034</v>
      </c>
      <c r="C1166" t="str">
        <f t="shared" si="235"/>
        <v>41</v>
      </c>
      <c r="D1166" t="s">
        <v>120</v>
      </c>
      <c r="E1166" t="s">
        <v>116</v>
      </c>
      <c r="F1166" t="s">
        <v>117</v>
      </c>
      <c r="H1166" t="s">
        <v>344</v>
      </c>
      <c r="I1166" t="str">
        <f>"101050002025710"</f>
        <v>101050002025710</v>
      </c>
      <c r="J1166" t="str">
        <f t="shared" si="236"/>
        <v>515123</v>
      </c>
      <c r="K1166" t="s">
        <v>19</v>
      </c>
      <c r="L1166">
        <v>49</v>
      </c>
      <c r="M1166">
        <v>49</v>
      </c>
      <c r="N1166">
        <v>0</v>
      </c>
      <c r="O1166" s="1">
        <v>45583.338912037034</v>
      </c>
      <c r="P1166" t="s">
        <v>119</v>
      </c>
    </row>
    <row r="1167" spans="1:16" x14ac:dyDescent="0.3">
      <c r="A1167" t="s">
        <v>25</v>
      </c>
      <c r="B1167" s="1">
        <v>45583.338912037034</v>
      </c>
      <c r="C1167" t="str">
        <f t="shared" si="235"/>
        <v>41</v>
      </c>
      <c r="D1167" t="s">
        <v>120</v>
      </c>
      <c r="E1167" t="s">
        <v>116</v>
      </c>
      <c r="F1167" t="s">
        <v>117</v>
      </c>
      <c r="H1167" t="s">
        <v>344</v>
      </c>
      <c r="I1167" t="str">
        <f>"101050002025689"</f>
        <v>101050002025689</v>
      </c>
      <c r="J1167" t="str">
        <f t="shared" si="236"/>
        <v>515123</v>
      </c>
      <c r="K1167" t="s">
        <v>19</v>
      </c>
      <c r="L1167">
        <v>49</v>
      </c>
      <c r="M1167">
        <v>49</v>
      </c>
      <c r="N1167">
        <v>0</v>
      </c>
      <c r="O1167" s="1">
        <v>45583.338912037034</v>
      </c>
      <c r="P1167" t="s">
        <v>119</v>
      </c>
    </row>
    <row r="1168" spans="1:16" x14ac:dyDescent="0.3">
      <c r="A1168" t="s">
        <v>25</v>
      </c>
      <c r="B1168" s="1">
        <v>45583.338912037034</v>
      </c>
      <c r="C1168" t="str">
        <f t="shared" si="235"/>
        <v>41</v>
      </c>
      <c r="D1168" t="s">
        <v>120</v>
      </c>
      <c r="E1168" t="s">
        <v>116</v>
      </c>
      <c r="F1168" t="s">
        <v>117</v>
      </c>
      <c r="H1168" t="s">
        <v>344</v>
      </c>
      <c r="I1168" t="str">
        <f>"101050002025226"</f>
        <v>101050002025226</v>
      </c>
      <c r="J1168" t="str">
        <f t="shared" si="236"/>
        <v>515123</v>
      </c>
      <c r="K1168" t="s">
        <v>19</v>
      </c>
      <c r="L1168">
        <v>49</v>
      </c>
      <c r="M1168">
        <v>49</v>
      </c>
      <c r="N1168">
        <v>0</v>
      </c>
      <c r="O1168" s="1">
        <v>45583.338912037034</v>
      </c>
      <c r="P1168" t="s">
        <v>119</v>
      </c>
    </row>
    <row r="1169" spans="1:16" x14ac:dyDescent="0.3">
      <c r="A1169" t="s">
        <v>25</v>
      </c>
      <c r="B1169" s="1">
        <v>45583.338912037034</v>
      </c>
      <c r="C1169" t="str">
        <f t="shared" si="235"/>
        <v>41</v>
      </c>
      <c r="D1169" t="s">
        <v>120</v>
      </c>
      <c r="E1169" t="s">
        <v>116</v>
      </c>
      <c r="F1169" t="s">
        <v>117</v>
      </c>
      <c r="H1169" t="s">
        <v>344</v>
      </c>
      <c r="I1169" t="str">
        <f>"101050002017176"</f>
        <v>101050002017176</v>
      </c>
      <c r="J1169" t="str">
        <f t="shared" si="236"/>
        <v>515123</v>
      </c>
      <c r="K1169" t="s">
        <v>19</v>
      </c>
      <c r="L1169">
        <v>49</v>
      </c>
      <c r="M1169">
        <v>49</v>
      </c>
      <c r="N1169">
        <v>0</v>
      </c>
      <c r="O1169" s="1">
        <v>45583.338912037034</v>
      </c>
      <c r="P1169" t="s">
        <v>119</v>
      </c>
    </row>
    <row r="1170" spans="1:16" x14ac:dyDescent="0.3">
      <c r="A1170" t="s">
        <v>25</v>
      </c>
      <c r="B1170" s="1">
        <v>45583.338912037034</v>
      </c>
      <c r="C1170" t="str">
        <f t="shared" si="235"/>
        <v>41</v>
      </c>
      <c r="D1170" t="s">
        <v>120</v>
      </c>
      <c r="E1170" t="s">
        <v>116</v>
      </c>
      <c r="F1170" t="s">
        <v>117</v>
      </c>
      <c r="H1170" t="s">
        <v>344</v>
      </c>
      <c r="I1170" t="str">
        <f>"101050002017286"</f>
        <v>101050002017286</v>
      </c>
      <c r="J1170" t="str">
        <f t="shared" si="236"/>
        <v>515123</v>
      </c>
      <c r="K1170" t="s">
        <v>19</v>
      </c>
      <c r="L1170">
        <v>49</v>
      </c>
      <c r="M1170">
        <v>49</v>
      </c>
      <c r="N1170">
        <v>0</v>
      </c>
      <c r="O1170" s="1">
        <v>45583.338912037034</v>
      </c>
      <c r="P1170" t="s">
        <v>119</v>
      </c>
    </row>
    <row r="1171" spans="1:16" x14ac:dyDescent="0.3">
      <c r="A1171" t="s">
        <v>25</v>
      </c>
      <c r="B1171" s="1">
        <v>45583.334444444445</v>
      </c>
      <c r="C1171" t="str">
        <f>"38"</f>
        <v>38</v>
      </c>
      <c r="D1171" t="s">
        <v>115</v>
      </c>
      <c r="E1171" t="s">
        <v>116</v>
      </c>
      <c r="F1171" t="s">
        <v>117</v>
      </c>
      <c r="H1171" t="s">
        <v>345</v>
      </c>
      <c r="L1171">
        <v>0</v>
      </c>
      <c r="M1171">
        <v>0</v>
      </c>
      <c r="N1171">
        <v>0</v>
      </c>
      <c r="O1171" s="1">
        <v>45583.334444444445</v>
      </c>
      <c r="P1171" t="s">
        <v>119</v>
      </c>
    </row>
    <row r="1172" spans="1:16" x14ac:dyDescent="0.3">
      <c r="A1172" t="s">
        <v>25</v>
      </c>
      <c r="B1172" s="1">
        <v>45583.334444444445</v>
      </c>
      <c r="C1172" t="str">
        <f t="shared" ref="C1172:C1178" si="237">"41"</f>
        <v>41</v>
      </c>
      <c r="D1172" t="s">
        <v>120</v>
      </c>
      <c r="E1172" t="s">
        <v>116</v>
      </c>
      <c r="F1172" t="s">
        <v>117</v>
      </c>
      <c r="H1172" t="s">
        <v>345</v>
      </c>
      <c r="I1172" t="str">
        <f>"101050002024505"</f>
        <v>101050002024505</v>
      </c>
      <c r="J1172" t="str">
        <f t="shared" ref="J1172:J1178" si="238">"127802"</f>
        <v>127802</v>
      </c>
      <c r="K1172" t="s">
        <v>6</v>
      </c>
      <c r="L1172">
        <v>91</v>
      </c>
      <c r="M1172">
        <v>91</v>
      </c>
      <c r="N1172">
        <v>0</v>
      </c>
      <c r="O1172" s="1">
        <v>45583.334444444445</v>
      </c>
      <c r="P1172" t="s">
        <v>119</v>
      </c>
    </row>
    <row r="1173" spans="1:16" x14ac:dyDescent="0.3">
      <c r="A1173" t="s">
        <v>25</v>
      </c>
      <c r="B1173" s="1">
        <v>45583.334444444445</v>
      </c>
      <c r="C1173" t="str">
        <f t="shared" si="237"/>
        <v>41</v>
      </c>
      <c r="D1173" t="s">
        <v>120</v>
      </c>
      <c r="E1173" t="s">
        <v>116</v>
      </c>
      <c r="F1173" t="s">
        <v>117</v>
      </c>
      <c r="H1173" t="s">
        <v>345</v>
      </c>
      <c r="I1173" t="str">
        <f>"101050002021344"</f>
        <v>101050002021344</v>
      </c>
      <c r="J1173" t="str">
        <f t="shared" si="238"/>
        <v>127802</v>
      </c>
      <c r="K1173" t="s">
        <v>6</v>
      </c>
      <c r="L1173">
        <v>91</v>
      </c>
      <c r="M1173">
        <v>91</v>
      </c>
      <c r="N1173">
        <v>0</v>
      </c>
      <c r="O1173" s="1">
        <v>45583.334444444445</v>
      </c>
      <c r="P1173" t="s">
        <v>119</v>
      </c>
    </row>
    <row r="1174" spans="1:16" x14ac:dyDescent="0.3">
      <c r="A1174" t="s">
        <v>25</v>
      </c>
      <c r="B1174" s="1">
        <v>45583.334444444445</v>
      </c>
      <c r="C1174" t="str">
        <f t="shared" si="237"/>
        <v>41</v>
      </c>
      <c r="D1174" t="s">
        <v>120</v>
      </c>
      <c r="E1174" t="s">
        <v>116</v>
      </c>
      <c r="F1174" t="s">
        <v>117</v>
      </c>
      <c r="H1174" t="s">
        <v>345</v>
      </c>
      <c r="I1174" t="str">
        <f>"101050002016296"</f>
        <v>101050002016296</v>
      </c>
      <c r="J1174" t="str">
        <f t="shared" si="238"/>
        <v>127802</v>
      </c>
      <c r="K1174" t="s">
        <v>6</v>
      </c>
      <c r="L1174">
        <v>91</v>
      </c>
      <c r="M1174">
        <v>91</v>
      </c>
      <c r="N1174">
        <v>0</v>
      </c>
      <c r="O1174" s="1">
        <v>45583.334444444445</v>
      </c>
      <c r="P1174" t="s">
        <v>119</v>
      </c>
    </row>
    <row r="1175" spans="1:16" x14ac:dyDescent="0.3">
      <c r="A1175" t="s">
        <v>25</v>
      </c>
      <c r="B1175" s="1">
        <v>45583.334432870368</v>
      </c>
      <c r="C1175" t="str">
        <f t="shared" si="237"/>
        <v>41</v>
      </c>
      <c r="D1175" t="s">
        <v>120</v>
      </c>
      <c r="E1175" t="s">
        <v>116</v>
      </c>
      <c r="F1175" t="s">
        <v>117</v>
      </c>
      <c r="H1175" t="s">
        <v>345</v>
      </c>
      <c r="I1175" t="str">
        <f>"101050002024851"</f>
        <v>101050002024851</v>
      </c>
      <c r="J1175" t="str">
        <f t="shared" si="238"/>
        <v>127802</v>
      </c>
      <c r="K1175" t="s">
        <v>6</v>
      </c>
      <c r="L1175">
        <v>91</v>
      </c>
      <c r="M1175">
        <v>91</v>
      </c>
      <c r="N1175">
        <v>0</v>
      </c>
      <c r="O1175" s="1">
        <v>45583.334432870368</v>
      </c>
      <c r="P1175" t="s">
        <v>119</v>
      </c>
    </row>
    <row r="1176" spans="1:16" x14ac:dyDescent="0.3">
      <c r="A1176" t="s">
        <v>25</v>
      </c>
      <c r="B1176" s="1">
        <v>45583.334432870368</v>
      </c>
      <c r="C1176" t="str">
        <f t="shared" si="237"/>
        <v>41</v>
      </c>
      <c r="D1176" t="s">
        <v>120</v>
      </c>
      <c r="E1176" t="s">
        <v>116</v>
      </c>
      <c r="F1176" t="s">
        <v>117</v>
      </c>
      <c r="H1176" t="s">
        <v>345</v>
      </c>
      <c r="I1176" t="str">
        <f>"101050002020203"</f>
        <v>101050002020203</v>
      </c>
      <c r="J1176" t="str">
        <f t="shared" si="238"/>
        <v>127802</v>
      </c>
      <c r="K1176" t="s">
        <v>6</v>
      </c>
      <c r="L1176">
        <v>91</v>
      </c>
      <c r="M1176">
        <v>91</v>
      </c>
      <c r="N1176">
        <v>0</v>
      </c>
      <c r="O1176" s="1">
        <v>45583.334432870368</v>
      </c>
      <c r="P1176" t="s">
        <v>119</v>
      </c>
    </row>
    <row r="1177" spans="1:16" x14ac:dyDescent="0.3">
      <c r="A1177" t="s">
        <v>25</v>
      </c>
      <c r="B1177" s="1">
        <v>45583.334432870368</v>
      </c>
      <c r="C1177" t="str">
        <f t="shared" si="237"/>
        <v>41</v>
      </c>
      <c r="D1177" t="s">
        <v>120</v>
      </c>
      <c r="E1177" t="s">
        <v>116</v>
      </c>
      <c r="F1177" t="s">
        <v>117</v>
      </c>
      <c r="H1177" t="s">
        <v>345</v>
      </c>
      <c r="I1177" t="str">
        <f>"101050002020235"</f>
        <v>101050002020235</v>
      </c>
      <c r="J1177" t="str">
        <f t="shared" si="238"/>
        <v>127802</v>
      </c>
      <c r="K1177" t="s">
        <v>6</v>
      </c>
      <c r="L1177">
        <v>91</v>
      </c>
      <c r="M1177">
        <v>91</v>
      </c>
      <c r="N1177">
        <v>0</v>
      </c>
      <c r="O1177" s="1">
        <v>45583.334432870368</v>
      </c>
      <c r="P1177" t="s">
        <v>119</v>
      </c>
    </row>
    <row r="1178" spans="1:16" x14ac:dyDescent="0.3">
      <c r="A1178" t="s">
        <v>25</v>
      </c>
      <c r="B1178" s="1">
        <v>45583.334432870368</v>
      </c>
      <c r="C1178" t="str">
        <f t="shared" si="237"/>
        <v>41</v>
      </c>
      <c r="D1178" t="s">
        <v>120</v>
      </c>
      <c r="E1178" t="s">
        <v>116</v>
      </c>
      <c r="F1178" t="s">
        <v>117</v>
      </c>
      <c r="H1178" t="s">
        <v>345</v>
      </c>
      <c r="I1178" t="str">
        <f>"101050002020240"</f>
        <v>101050002020240</v>
      </c>
      <c r="J1178" t="str">
        <f t="shared" si="238"/>
        <v>127802</v>
      </c>
      <c r="K1178" t="s">
        <v>6</v>
      </c>
      <c r="L1178">
        <v>91</v>
      </c>
      <c r="M1178">
        <v>91</v>
      </c>
      <c r="N1178">
        <v>0</v>
      </c>
      <c r="O1178" s="1">
        <v>45583.334432870368</v>
      </c>
      <c r="P1178" t="s">
        <v>119</v>
      </c>
    </row>
    <row r="1179" spans="1:16" x14ac:dyDescent="0.3">
      <c r="A1179" t="s">
        <v>25</v>
      </c>
      <c r="B1179" s="1">
        <v>45583.331342592595</v>
      </c>
      <c r="C1179" t="str">
        <f>"38"</f>
        <v>38</v>
      </c>
      <c r="D1179" t="s">
        <v>115</v>
      </c>
      <c r="E1179" t="s">
        <v>116</v>
      </c>
      <c r="F1179" t="s">
        <v>117</v>
      </c>
      <c r="H1179" t="s">
        <v>346</v>
      </c>
      <c r="L1179">
        <v>0</v>
      </c>
      <c r="M1179">
        <v>0</v>
      </c>
      <c r="N1179">
        <v>0</v>
      </c>
      <c r="O1179" s="1">
        <v>45583.331342592595</v>
      </c>
      <c r="P1179" t="s">
        <v>138</v>
      </c>
    </row>
    <row r="1180" spans="1:16" x14ac:dyDescent="0.3">
      <c r="A1180" t="s">
        <v>25</v>
      </c>
      <c r="B1180" s="1">
        <v>45583.331331018519</v>
      </c>
      <c r="C1180" t="str">
        <f t="shared" ref="C1180:C1185" si="239">"41"</f>
        <v>41</v>
      </c>
      <c r="D1180" t="s">
        <v>120</v>
      </c>
      <c r="E1180" t="s">
        <v>116</v>
      </c>
      <c r="F1180" t="s">
        <v>117</v>
      </c>
      <c r="H1180" t="s">
        <v>346</v>
      </c>
      <c r="I1180" t="str">
        <f>"101050002003242"</f>
        <v>101050002003242</v>
      </c>
      <c r="J1180" t="str">
        <f t="shared" ref="J1180:J1185" si="240">"128814"</f>
        <v>128814</v>
      </c>
      <c r="K1180" t="s">
        <v>72</v>
      </c>
      <c r="L1180">
        <v>49</v>
      </c>
      <c r="M1180">
        <v>49</v>
      </c>
      <c r="N1180">
        <v>0</v>
      </c>
      <c r="O1180" s="1">
        <v>45583.331331018519</v>
      </c>
      <c r="P1180" t="s">
        <v>138</v>
      </c>
    </row>
    <row r="1181" spans="1:16" x14ac:dyDescent="0.3">
      <c r="A1181" t="s">
        <v>25</v>
      </c>
      <c r="B1181" s="1">
        <v>45583.331331018519</v>
      </c>
      <c r="C1181" t="str">
        <f t="shared" si="239"/>
        <v>41</v>
      </c>
      <c r="D1181" t="s">
        <v>120</v>
      </c>
      <c r="E1181" t="s">
        <v>116</v>
      </c>
      <c r="F1181" t="s">
        <v>117</v>
      </c>
      <c r="H1181" t="s">
        <v>346</v>
      </c>
      <c r="I1181" t="str">
        <f>"101050002003818"</f>
        <v>101050002003818</v>
      </c>
      <c r="J1181" t="str">
        <f t="shared" si="240"/>
        <v>128814</v>
      </c>
      <c r="K1181" t="s">
        <v>72</v>
      </c>
      <c r="L1181">
        <v>49</v>
      </c>
      <c r="M1181">
        <v>49</v>
      </c>
      <c r="N1181">
        <v>0</v>
      </c>
      <c r="O1181" s="1">
        <v>45583.331331018519</v>
      </c>
      <c r="P1181" t="s">
        <v>138</v>
      </c>
    </row>
    <row r="1182" spans="1:16" x14ac:dyDescent="0.3">
      <c r="A1182" t="s">
        <v>25</v>
      </c>
      <c r="B1182" s="1">
        <v>45583.331331018519</v>
      </c>
      <c r="C1182" t="str">
        <f t="shared" si="239"/>
        <v>41</v>
      </c>
      <c r="D1182" t="s">
        <v>120</v>
      </c>
      <c r="E1182" t="s">
        <v>116</v>
      </c>
      <c r="F1182" t="s">
        <v>117</v>
      </c>
      <c r="H1182" t="s">
        <v>346</v>
      </c>
      <c r="I1182" t="str">
        <f>"101050002003399"</f>
        <v>101050002003399</v>
      </c>
      <c r="J1182" t="str">
        <f t="shared" si="240"/>
        <v>128814</v>
      </c>
      <c r="K1182" t="s">
        <v>72</v>
      </c>
      <c r="L1182">
        <v>49</v>
      </c>
      <c r="M1182">
        <v>49</v>
      </c>
      <c r="N1182">
        <v>0</v>
      </c>
      <c r="O1182" s="1">
        <v>45583.331331018519</v>
      </c>
      <c r="P1182" t="s">
        <v>138</v>
      </c>
    </row>
    <row r="1183" spans="1:16" x14ac:dyDescent="0.3">
      <c r="A1183" t="s">
        <v>25</v>
      </c>
      <c r="B1183" s="1">
        <v>45583.331331018519</v>
      </c>
      <c r="C1183" t="str">
        <f t="shared" si="239"/>
        <v>41</v>
      </c>
      <c r="D1183" t="s">
        <v>120</v>
      </c>
      <c r="E1183" t="s">
        <v>116</v>
      </c>
      <c r="F1183" t="s">
        <v>117</v>
      </c>
      <c r="H1183" t="s">
        <v>346</v>
      </c>
      <c r="I1183" t="str">
        <f>"101050002003472"</f>
        <v>101050002003472</v>
      </c>
      <c r="J1183" t="str">
        <f t="shared" si="240"/>
        <v>128814</v>
      </c>
      <c r="K1183" t="s">
        <v>72</v>
      </c>
      <c r="L1183">
        <v>49</v>
      </c>
      <c r="M1183">
        <v>49</v>
      </c>
      <c r="N1183">
        <v>0</v>
      </c>
      <c r="O1183" s="1">
        <v>45583.331331018519</v>
      </c>
      <c r="P1183" t="s">
        <v>138</v>
      </c>
    </row>
    <row r="1184" spans="1:16" x14ac:dyDescent="0.3">
      <c r="A1184" t="s">
        <v>25</v>
      </c>
      <c r="B1184" s="1">
        <v>45583.331331018519</v>
      </c>
      <c r="C1184" t="str">
        <f t="shared" si="239"/>
        <v>41</v>
      </c>
      <c r="D1184" t="s">
        <v>120</v>
      </c>
      <c r="E1184" t="s">
        <v>116</v>
      </c>
      <c r="F1184" t="s">
        <v>117</v>
      </c>
      <c r="H1184" t="s">
        <v>346</v>
      </c>
      <c r="I1184" t="str">
        <f>"101050002003353"</f>
        <v>101050002003353</v>
      </c>
      <c r="J1184" t="str">
        <f t="shared" si="240"/>
        <v>128814</v>
      </c>
      <c r="K1184" t="s">
        <v>72</v>
      </c>
      <c r="L1184">
        <v>49</v>
      </c>
      <c r="M1184">
        <v>49</v>
      </c>
      <c r="N1184">
        <v>0</v>
      </c>
      <c r="O1184" s="1">
        <v>45583.331331018519</v>
      </c>
      <c r="P1184" t="s">
        <v>138</v>
      </c>
    </row>
    <row r="1185" spans="1:16" x14ac:dyDescent="0.3">
      <c r="A1185" t="s">
        <v>25</v>
      </c>
      <c r="B1185" s="1">
        <v>45583.331331018519</v>
      </c>
      <c r="C1185" t="str">
        <f t="shared" si="239"/>
        <v>41</v>
      </c>
      <c r="D1185" t="s">
        <v>120</v>
      </c>
      <c r="E1185" t="s">
        <v>116</v>
      </c>
      <c r="F1185" t="s">
        <v>117</v>
      </c>
      <c r="H1185" t="s">
        <v>346</v>
      </c>
      <c r="I1185" t="str">
        <f>"101050002003110"</f>
        <v>101050002003110</v>
      </c>
      <c r="J1185" t="str">
        <f t="shared" si="240"/>
        <v>128814</v>
      </c>
      <c r="K1185" t="s">
        <v>72</v>
      </c>
      <c r="L1185">
        <v>49</v>
      </c>
      <c r="M1185">
        <v>49</v>
      </c>
      <c r="N1185">
        <v>0</v>
      </c>
      <c r="O1185" s="1">
        <v>45583.331331018519</v>
      </c>
      <c r="P1185" t="s">
        <v>138</v>
      </c>
    </row>
    <row r="1186" spans="1:16" x14ac:dyDescent="0.3">
      <c r="A1186" t="s">
        <v>25</v>
      </c>
      <c r="B1186" s="1">
        <v>45583.33084490741</v>
      </c>
      <c r="C1186" t="str">
        <f>"38"</f>
        <v>38</v>
      </c>
      <c r="D1186" t="s">
        <v>115</v>
      </c>
      <c r="E1186" t="s">
        <v>116</v>
      </c>
      <c r="F1186" t="s">
        <v>117</v>
      </c>
      <c r="H1186" t="s">
        <v>347</v>
      </c>
      <c r="L1186">
        <v>0</v>
      </c>
      <c r="M1186">
        <v>0</v>
      </c>
      <c r="N1186">
        <v>0</v>
      </c>
      <c r="O1186" s="1">
        <v>45583.33084490741</v>
      </c>
      <c r="P1186" t="s">
        <v>138</v>
      </c>
    </row>
    <row r="1187" spans="1:16" x14ac:dyDescent="0.3">
      <c r="A1187" t="s">
        <v>25</v>
      </c>
      <c r="B1187" s="1">
        <v>45583.33084490741</v>
      </c>
      <c r="C1187" t="str">
        <f t="shared" ref="C1187:C1193" si="241">"41"</f>
        <v>41</v>
      </c>
      <c r="D1187" t="s">
        <v>120</v>
      </c>
      <c r="E1187" t="s">
        <v>116</v>
      </c>
      <c r="F1187" t="s">
        <v>117</v>
      </c>
      <c r="H1187" t="s">
        <v>347</v>
      </c>
      <c r="I1187" t="str">
        <f>"101050002026300"</f>
        <v>101050002026300</v>
      </c>
      <c r="J1187" t="str">
        <f t="shared" ref="J1187:J1193" si="242">"127575"</f>
        <v>127575</v>
      </c>
      <c r="K1187" t="s">
        <v>8</v>
      </c>
      <c r="L1187">
        <v>91</v>
      </c>
      <c r="M1187">
        <v>91</v>
      </c>
      <c r="N1187">
        <v>0</v>
      </c>
      <c r="O1187" s="1">
        <v>45583.33084490741</v>
      </c>
      <c r="P1187" t="s">
        <v>138</v>
      </c>
    </row>
    <row r="1188" spans="1:16" x14ac:dyDescent="0.3">
      <c r="A1188" t="s">
        <v>25</v>
      </c>
      <c r="B1188" s="1">
        <v>45583.33084490741</v>
      </c>
      <c r="C1188" t="str">
        <f t="shared" si="241"/>
        <v>41</v>
      </c>
      <c r="D1188" t="s">
        <v>120</v>
      </c>
      <c r="E1188" t="s">
        <v>116</v>
      </c>
      <c r="F1188" t="s">
        <v>117</v>
      </c>
      <c r="H1188" t="s">
        <v>347</v>
      </c>
      <c r="I1188" t="str">
        <f>"101050002025803"</f>
        <v>101050002025803</v>
      </c>
      <c r="J1188" t="str">
        <f t="shared" si="242"/>
        <v>127575</v>
      </c>
      <c r="K1188" t="s">
        <v>8</v>
      </c>
      <c r="L1188">
        <v>91</v>
      </c>
      <c r="M1188">
        <v>91</v>
      </c>
      <c r="N1188">
        <v>0</v>
      </c>
      <c r="O1188" s="1">
        <v>45583.33084490741</v>
      </c>
      <c r="P1188" t="s">
        <v>138</v>
      </c>
    </row>
    <row r="1189" spans="1:16" x14ac:dyDescent="0.3">
      <c r="A1189" t="s">
        <v>25</v>
      </c>
      <c r="B1189" s="1">
        <v>45583.33084490741</v>
      </c>
      <c r="C1189" t="str">
        <f t="shared" si="241"/>
        <v>41</v>
      </c>
      <c r="D1189" t="s">
        <v>120</v>
      </c>
      <c r="E1189" t="s">
        <v>116</v>
      </c>
      <c r="F1189" t="s">
        <v>117</v>
      </c>
      <c r="H1189" t="s">
        <v>347</v>
      </c>
      <c r="I1189" t="str">
        <f>"101050002026777"</f>
        <v>101050002026777</v>
      </c>
      <c r="J1189" t="str">
        <f t="shared" si="242"/>
        <v>127575</v>
      </c>
      <c r="K1189" t="s">
        <v>8</v>
      </c>
      <c r="L1189">
        <v>91</v>
      </c>
      <c r="M1189">
        <v>91</v>
      </c>
      <c r="N1189">
        <v>0</v>
      </c>
      <c r="O1189" s="1">
        <v>45583.33084490741</v>
      </c>
      <c r="P1189" t="s">
        <v>138</v>
      </c>
    </row>
    <row r="1190" spans="1:16" x14ac:dyDescent="0.3">
      <c r="A1190" t="s">
        <v>25</v>
      </c>
      <c r="B1190" s="1">
        <v>45583.33084490741</v>
      </c>
      <c r="C1190" t="str">
        <f t="shared" si="241"/>
        <v>41</v>
      </c>
      <c r="D1190" t="s">
        <v>120</v>
      </c>
      <c r="E1190" t="s">
        <v>116</v>
      </c>
      <c r="F1190" t="s">
        <v>117</v>
      </c>
      <c r="H1190" t="s">
        <v>347</v>
      </c>
      <c r="I1190" t="str">
        <f>"101050002027657"</f>
        <v>101050002027657</v>
      </c>
      <c r="J1190" t="str">
        <f t="shared" si="242"/>
        <v>127575</v>
      </c>
      <c r="K1190" t="s">
        <v>8</v>
      </c>
      <c r="L1190">
        <v>91</v>
      </c>
      <c r="M1190">
        <v>91</v>
      </c>
      <c r="N1190">
        <v>0</v>
      </c>
      <c r="O1190" s="1">
        <v>45583.33084490741</v>
      </c>
      <c r="P1190" t="s">
        <v>138</v>
      </c>
    </row>
    <row r="1191" spans="1:16" x14ac:dyDescent="0.3">
      <c r="A1191" t="s">
        <v>25</v>
      </c>
      <c r="B1191" s="1">
        <v>45583.33084490741</v>
      </c>
      <c r="C1191" t="str">
        <f t="shared" si="241"/>
        <v>41</v>
      </c>
      <c r="D1191" t="s">
        <v>120</v>
      </c>
      <c r="E1191" t="s">
        <v>116</v>
      </c>
      <c r="F1191" t="s">
        <v>117</v>
      </c>
      <c r="H1191" t="s">
        <v>347</v>
      </c>
      <c r="I1191" t="str">
        <f>"101050002026299"</f>
        <v>101050002026299</v>
      </c>
      <c r="J1191" t="str">
        <f t="shared" si="242"/>
        <v>127575</v>
      </c>
      <c r="K1191" t="s">
        <v>8</v>
      </c>
      <c r="L1191">
        <v>91</v>
      </c>
      <c r="M1191">
        <v>91</v>
      </c>
      <c r="N1191">
        <v>0</v>
      </c>
      <c r="O1191" s="1">
        <v>45583.33084490741</v>
      </c>
      <c r="P1191" t="s">
        <v>138</v>
      </c>
    </row>
    <row r="1192" spans="1:16" x14ac:dyDescent="0.3">
      <c r="A1192" t="s">
        <v>25</v>
      </c>
      <c r="B1192" s="1">
        <v>45583.330833333333</v>
      </c>
      <c r="C1192" t="str">
        <f t="shared" si="241"/>
        <v>41</v>
      </c>
      <c r="D1192" t="s">
        <v>120</v>
      </c>
      <c r="E1192" t="s">
        <v>116</v>
      </c>
      <c r="F1192" t="s">
        <v>117</v>
      </c>
      <c r="H1192" t="s">
        <v>347</v>
      </c>
      <c r="I1192" t="str">
        <f>"101050002026474"</f>
        <v>101050002026474</v>
      </c>
      <c r="J1192" t="str">
        <f t="shared" si="242"/>
        <v>127575</v>
      </c>
      <c r="K1192" t="s">
        <v>8</v>
      </c>
      <c r="L1192">
        <v>91</v>
      </c>
      <c r="M1192">
        <v>91</v>
      </c>
      <c r="N1192">
        <v>0</v>
      </c>
      <c r="O1192" s="1">
        <v>45583.330833333333</v>
      </c>
      <c r="P1192" t="s">
        <v>138</v>
      </c>
    </row>
    <row r="1193" spans="1:16" x14ac:dyDescent="0.3">
      <c r="A1193" t="s">
        <v>25</v>
      </c>
      <c r="B1193" s="1">
        <v>45583.330833333333</v>
      </c>
      <c r="C1193" t="str">
        <f t="shared" si="241"/>
        <v>41</v>
      </c>
      <c r="D1193" t="s">
        <v>120</v>
      </c>
      <c r="E1193" t="s">
        <v>116</v>
      </c>
      <c r="F1193" t="s">
        <v>117</v>
      </c>
      <c r="H1193" t="s">
        <v>347</v>
      </c>
      <c r="I1193" t="str">
        <f>"101050002026058"</f>
        <v>101050002026058</v>
      </c>
      <c r="J1193" t="str">
        <f t="shared" si="242"/>
        <v>127575</v>
      </c>
      <c r="K1193" t="s">
        <v>8</v>
      </c>
      <c r="L1193">
        <v>91</v>
      </c>
      <c r="M1193">
        <v>91</v>
      </c>
      <c r="N1193">
        <v>0</v>
      </c>
      <c r="O1193" s="1">
        <v>45583.330833333333</v>
      </c>
      <c r="P1193" t="s">
        <v>138</v>
      </c>
    </row>
    <row r="1194" spans="1:16" x14ac:dyDescent="0.3">
      <c r="A1194" t="s">
        <v>25</v>
      </c>
      <c r="B1194" s="1">
        <v>45583.330567129633</v>
      </c>
      <c r="C1194" t="str">
        <f>"38"</f>
        <v>38</v>
      </c>
      <c r="D1194" t="s">
        <v>115</v>
      </c>
      <c r="E1194" t="s">
        <v>116</v>
      </c>
      <c r="F1194" t="s">
        <v>117</v>
      </c>
      <c r="H1194" t="s">
        <v>348</v>
      </c>
      <c r="L1194">
        <v>0</v>
      </c>
      <c r="M1194">
        <v>0</v>
      </c>
      <c r="N1194">
        <v>0</v>
      </c>
      <c r="O1194" s="1">
        <v>45583.330567129633</v>
      </c>
      <c r="P1194" t="s">
        <v>119</v>
      </c>
    </row>
    <row r="1195" spans="1:16" x14ac:dyDescent="0.3">
      <c r="A1195" t="s">
        <v>25</v>
      </c>
      <c r="B1195" s="1">
        <v>45583.330555555556</v>
      </c>
      <c r="C1195" t="str">
        <f t="shared" ref="C1195:C1201" si="243">"41"</f>
        <v>41</v>
      </c>
      <c r="D1195" t="s">
        <v>120</v>
      </c>
      <c r="E1195" t="s">
        <v>116</v>
      </c>
      <c r="F1195" t="s">
        <v>117</v>
      </c>
      <c r="H1195" t="s">
        <v>348</v>
      </c>
      <c r="I1195" t="str">
        <f>"101050002024434"</f>
        <v>101050002024434</v>
      </c>
      <c r="J1195" t="str">
        <f t="shared" ref="J1195:J1201" si="244">"127923"</f>
        <v>127923</v>
      </c>
      <c r="K1195" t="s">
        <v>9</v>
      </c>
      <c r="L1195">
        <v>91</v>
      </c>
      <c r="M1195">
        <v>91</v>
      </c>
      <c r="N1195">
        <v>0</v>
      </c>
      <c r="O1195" s="1">
        <v>45583.330555555556</v>
      </c>
      <c r="P1195" t="s">
        <v>119</v>
      </c>
    </row>
    <row r="1196" spans="1:16" x14ac:dyDescent="0.3">
      <c r="A1196" t="s">
        <v>25</v>
      </c>
      <c r="B1196" s="1">
        <v>45583.330555555556</v>
      </c>
      <c r="C1196" t="str">
        <f t="shared" si="243"/>
        <v>41</v>
      </c>
      <c r="D1196" t="s">
        <v>120</v>
      </c>
      <c r="E1196" t="s">
        <v>116</v>
      </c>
      <c r="F1196" t="s">
        <v>117</v>
      </c>
      <c r="H1196" t="s">
        <v>348</v>
      </c>
      <c r="I1196" t="str">
        <f>"101050002024177"</f>
        <v>101050002024177</v>
      </c>
      <c r="J1196" t="str">
        <f t="shared" si="244"/>
        <v>127923</v>
      </c>
      <c r="K1196" t="s">
        <v>9</v>
      </c>
      <c r="L1196">
        <v>91</v>
      </c>
      <c r="M1196">
        <v>91</v>
      </c>
      <c r="N1196">
        <v>0</v>
      </c>
      <c r="O1196" s="1">
        <v>45583.330555555556</v>
      </c>
      <c r="P1196" t="s">
        <v>119</v>
      </c>
    </row>
    <row r="1197" spans="1:16" x14ac:dyDescent="0.3">
      <c r="A1197" t="s">
        <v>25</v>
      </c>
      <c r="B1197" s="1">
        <v>45583.330555555556</v>
      </c>
      <c r="C1197" t="str">
        <f t="shared" si="243"/>
        <v>41</v>
      </c>
      <c r="D1197" t="s">
        <v>120</v>
      </c>
      <c r="E1197" t="s">
        <v>116</v>
      </c>
      <c r="F1197" t="s">
        <v>117</v>
      </c>
      <c r="H1197" t="s">
        <v>348</v>
      </c>
      <c r="I1197" t="str">
        <f>"101050002022943"</f>
        <v>101050002022943</v>
      </c>
      <c r="J1197" t="str">
        <f t="shared" si="244"/>
        <v>127923</v>
      </c>
      <c r="K1197" t="s">
        <v>9</v>
      </c>
      <c r="L1197">
        <v>91</v>
      </c>
      <c r="M1197">
        <v>91</v>
      </c>
      <c r="N1197">
        <v>0</v>
      </c>
      <c r="O1197" s="1">
        <v>45583.330555555556</v>
      </c>
      <c r="P1197" t="s">
        <v>119</v>
      </c>
    </row>
    <row r="1198" spans="1:16" x14ac:dyDescent="0.3">
      <c r="A1198" t="s">
        <v>25</v>
      </c>
      <c r="B1198" s="1">
        <v>45583.330555555556</v>
      </c>
      <c r="C1198" t="str">
        <f t="shared" si="243"/>
        <v>41</v>
      </c>
      <c r="D1198" t="s">
        <v>120</v>
      </c>
      <c r="E1198" t="s">
        <v>116</v>
      </c>
      <c r="F1198" t="s">
        <v>117</v>
      </c>
      <c r="H1198" t="s">
        <v>348</v>
      </c>
      <c r="I1198" t="str">
        <f>"101050002024729"</f>
        <v>101050002024729</v>
      </c>
      <c r="J1198" t="str">
        <f t="shared" si="244"/>
        <v>127923</v>
      </c>
      <c r="K1198" t="s">
        <v>9</v>
      </c>
      <c r="L1198">
        <v>91</v>
      </c>
      <c r="M1198">
        <v>91</v>
      </c>
      <c r="N1198">
        <v>0</v>
      </c>
      <c r="O1198" s="1">
        <v>45583.330555555556</v>
      </c>
      <c r="P1198" t="s">
        <v>119</v>
      </c>
    </row>
    <row r="1199" spans="1:16" x14ac:dyDescent="0.3">
      <c r="A1199" t="s">
        <v>25</v>
      </c>
      <c r="B1199" s="1">
        <v>45583.330555555556</v>
      </c>
      <c r="C1199" t="str">
        <f t="shared" si="243"/>
        <v>41</v>
      </c>
      <c r="D1199" t="s">
        <v>120</v>
      </c>
      <c r="E1199" t="s">
        <v>116</v>
      </c>
      <c r="F1199" t="s">
        <v>117</v>
      </c>
      <c r="H1199" t="s">
        <v>348</v>
      </c>
      <c r="I1199" t="str">
        <f>"101050002024272"</f>
        <v>101050002024272</v>
      </c>
      <c r="J1199" t="str">
        <f t="shared" si="244"/>
        <v>127923</v>
      </c>
      <c r="K1199" t="s">
        <v>9</v>
      </c>
      <c r="L1199">
        <v>91</v>
      </c>
      <c r="M1199">
        <v>91</v>
      </c>
      <c r="N1199">
        <v>0</v>
      </c>
      <c r="O1199" s="1">
        <v>45583.330555555556</v>
      </c>
      <c r="P1199" t="s">
        <v>119</v>
      </c>
    </row>
    <row r="1200" spans="1:16" x14ac:dyDescent="0.3">
      <c r="A1200" t="s">
        <v>25</v>
      </c>
      <c r="B1200" s="1">
        <v>45583.330555555556</v>
      </c>
      <c r="C1200" t="str">
        <f t="shared" si="243"/>
        <v>41</v>
      </c>
      <c r="D1200" t="s">
        <v>120</v>
      </c>
      <c r="E1200" t="s">
        <v>116</v>
      </c>
      <c r="F1200" t="s">
        <v>117</v>
      </c>
      <c r="H1200" t="s">
        <v>348</v>
      </c>
      <c r="I1200" t="str">
        <f>"101050002024273"</f>
        <v>101050002024273</v>
      </c>
      <c r="J1200" t="str">
        <f t="shared" si="244"/>
        <v>127923</v>
      </c>
      <c r="K1200" t="s">
        <v>9</v>
      </c>
      <c r="L1200">
        <v>91</v>
      </c>
      <c r="M1200">
        <v>91</v>
      </c>
      <c r="N1200">
        <v>0</v>
      </c>
      <c r="O1200" s="1">
        <v>45583.330555555556</v>
      </c>
      <c r="P1200" t="s">
        <v>119</v>
      </c>
    </row>
    <row r="1201" spans="1:16" x14ac:dyDescent="0.3">
      <c r="A1201" t="s">
        <v>25</v>
      </c>
      <c r="B1201" s="1">
        <v>45583.330555555556</v>
      </c>
      <c r="C1201" t="str">
        <f t="shared" si="243"/>
        <v>41</v>
      </c>
      <c r="D1201" t="s">
        <v>120</v>
      </c>
      <c r="E1201" t="s">
        <v>116</v>
      </c>
      <c r="F1201" t="s">
        <v>117</v>
      </c>
      <c r="H1201" t="s">
        <v>348</v>
      </c>
      <c r="I1201" t="str">
        <f>"101050002024433"</f>
        <v>101050002024433</v>
      </c>
      <c r="J1201" t="str">
        <f t="shared" si="244"/>
        <v>127923</v>
      </c>
      <c r="K1201" t="s">
        <v>9</v>
      </c>
      <c r="L1201">
        <v>91</v>
      </c>
      <c r="M1201">
        <v>91</v>
      </c>
      <c r="N1201">
        <v>0</v>
      </c>
      <c r="O1201" s="1">
        <v>45583.330555555556</v>
      </c>
      <c r="P1201" t="s">
        <v>119</v>
      </c>
    </row>
    <row r="1202" spans="1:16" x14ac:dyDescent="0.3">
      <c r="A1202" t="s">
        <v>25</v>
      </c>
      <c r="B1202" s="1">
        <v>45583.329629629632</v>
      </c>
      <c r="C1202" t="str">
        <f>"38"</f>
        <v>38</v>
      </c>
      <c r="D1202" t="s">
        <v>115</v>
      </c>
      <c r="E1202" t="s">
        <v>116</v>
      </c>
      <c r="F1202" t="s">
        <v>117</v>
      </c>
      <c r="H1202" t="s">
        <v>349</v>
      </c>
      <c r="L1202">
        <v>0</v>
      </c>
      <c r="M1202">
        <v>0</v>
      </c>
      <c r="N1202">
        <v>0</v>
      </c>
      <c r="O1202" s="1">
        <v>45583.329629629632</v>
      </c>
      <c r="P1202" t="s">
        <v>122</v>
      </c>
    </row>
    <row r="1203" spans="1:16" x14ac:dyDescent="0.3">
      <c r="A1203" t="s">
        <v>25</v>
      </c>
      <c r="B1203" s="1">
        <v>45583.329629629632</v>
      </c>
      <c r="C1203" t="str">
        <f t="shared" ref="C1203:C1209" si="245">"41"</f>
        <v>41</v>
      </c>
      <c r="D1203" t="s">
        <v>120</v>
      </c>
      <c r="E1203" t="s">
        <v>116</v>
      </c>
      <c r="F1203" t="s">
        <v>117</v>
      </c>
      <c r="H1203" t="s">
        <v>349</v>
      </c>
      <c r="I1203" t="str">
        <f>"101050002026342"</f>
        <v>101050002026342</v>
      </c>
      <c r="J1203" t="str">
        <f t="shared" ref="J1203:J1209" si="246">"515123"</f>
        <v>515123</v>
      </c>
      <c r="K1203" t="s">
        <v>19</v>
      </c>
      <c r="L1203">
        <v>49</v>
      </c>
      <c r="M1203">
        <v>49</v>
      </c>
      <c r="N1203">
        <v>0</v>
      </c>
      <c r="O1203" s="1">
        <v>45583.329629629632</v>
      </c>
      <c r="P1203" t="s">
        <v>122</v>
      </c>
    </row>
    <row r="1204" spans="1:16" x14ac:dyDescent="0.3">
      <c r="A1204" t="s">
        <v>25</v>
      </c>
      <c r="B1204" s="1">
        <v>45583.329629629632</v>
      </c>
      <c r="C1204" t="str">
        <f t="shared" si="245"/>
        <v>41</v>
      </c>
      <c r="D1204" t="s">
        <v>120</v>
      </c>
      <c r="E1204" t="s">
        <v>116</v>
      </c>
      <c r="F1204" t="s">
        <v>117</v>
      </c>
      <c r="H1204" t="s">
        <v>349</v>
      </c>
      <c r="I1204" t="str">
        <f>"101050002026311"</f>
        <v>101050002026311</v>
      </c>
      <c r="J1204" t="str">
        <f t="shared" si="246"/>
        <v>515123</v>
      </c>
      <c r="K1204" t="s">
        <v>19</v>
      </c>
      <c r="L1204">
        <v>49</v>
      </c>
      <c r="M1204">
        <v>49</v>
      </c>
      <c r="N1204">
        <v>0</v>
      </c>
      <c r="O1204" s="1">
        <v>45583.329629629632</v>
      </c>
      <c r="P1204" t="s">
        <v>122</v>
      </c>
    </row>
    <row r="1205" spans="1:16" x14ac:dyDescent="0.3">
      <c r="A1205" t="s">
        <v>25</v>
      </c>
      <c r="B1205" s="1">
        <v>45583.329618055555</v>
      </c>
      <c r="C1205" t="str">
        <f t="shared" si="245"/>
        <v>41</v>
      </c>
      <c r="D1205" t="s">
        <v>120</v>
      </c>
      <c r="E1205" t="s">
        <v>116</v>
      </c>
      <c r="F1205" t="s">
        <v>117</v>
      </c>
      <c r="H1205" t="s">
        <v>349</v>
      </c>
      <c r="I1205" t="str">
        <f>"101050002018430"</f>
        <v>101050002018430</v>
      </c>
      <c r="J1205" t="str">
        <f t="shared" si="246"/>
        <v>515123</v>
      </c>
      <c r="K1205" t="s">
        <v>19</v>
      </c>
      <c r="L1205">
        <v>49</v>
      </c>
      <c r="M1205">
        <v>49</v>
      </c>
      <c r="N1205">
        <v>0</v>
      </c>
      <c r="O1205" s="1">
        <v>45583.329618055555</v>
      </c>
      <c r="P1205" t="s">
        <v>122</v>
      </c>
    </row>
    <row r="1206" spans="1:16" x14ac:dyDescent="0.3">
      <c r="A1206" t="s">
        <v>25</v>
      </c>
      <c r="B1206" s="1">
        <v>45583.329618055555</v>
      </c>
      <c r="C1206" t="str">
        <f t="shared" si="245"/>
        <v>41</v>
      </c>
      <c r="D1206" t="s">
        <v>120</v>
      </c>
      <c r="E1206" t="s">
        <v>116</v>
      </c>
      <c r="F1206" t="s">
        <v>117</v>
      </c>
      <c r="H1206" t="s">
        <v>349</v>
      </c>
      <c r="I1206" t="str">
        <f>"101050002017466"</f>
        <v>101050002017466</v>
      </c>
      <c r="J1206" t="str">
        <f t="shared" si="246"/>
        <v>515123</v>
      </c>
      <c r="K1206" t="s">
        <v>19</v>
      </c>
      <c r="L1206">
        <v>49</v>
      </c>
      <c r="M1206">
        <v>49</v>
      </c>
      <c r="N1206">
        <v>0</v>
      </c>
      <c r="O1206" s="1">
        <v>45583.329618055555</v>
      </c>
      <c r="P1206" t="s">
        <v>122</v>
      </c>
    </row>
    <row r="1207" spans="1:16" x14ac:dyDescent="0.3">
      <c r="A1207" t="s">
        <v>25</v>
      </c>
      <c r="B1207" s="1">
        <v>45583.329618055555</v>
      </c>
      <c r="C1207" t="str">
        <f t="shared" si="245"/>
        <v>41</v>
      </c>
      <c r="D1207" t="s">
        <v>120</v>
      </c>
      <c r="E1207" t="s">
        <v>116</v>
      </c>
      <c r="F1207" t="s">
        <v>117</v>
      </c>
      <c r="H1207" t="s">
        <v>349</v>
      </c>
      <c r="I1207" t="str">
        <f>"101050002017664"</f>
        <v>101050002017664</v>
      </c>
      <c r="J1207" t="str">
        <f t="shared" si="246"/>
        <v>515123</v>
      </c>
      <c r="K1207" t="s">
        <v>19</v>
      </c>
      <c r="L1207">
        <v>49</v>
      </c>
      <c r="M1207">
        <v>49</v>
      </c>
      <c r="N1207">
        <v>0</v>
      </c>
      <c r="O1207" s="1">
        <v>45583.329618055555</v>
      </c>
      <c r="P1207" t="s">
        <v>122</v>
      </c>
    </row>
    <row r="1208" spans="1:16" x14ac:dyDescent="0.3">
      <c r="A1208" t="s">
        <v>25</v>
      </c>
      <c r="B1208" s="1">
        <v>45583.329618055555</v>
      </c>
      <c r="C1208" t="str">
        <f t="shared" si="245"/>
        <v>41</v>
      </c>
      <c r="D1208" t="s">
        <v>120</v>
      </c>
      <c r="E1208" t="s">
        <v>116</v>
      </c>
      <c r="F1208" t="s">
        <v>117</v>
      </c>
      <c r="H1208" t="s">
        <v>349</v>
      </c>
      <c r="I1208" t="str">
        <f>"101050002017658"</f>
        <v>101050002017658</v>
      </c>
      <c r="J1208" t="str">
        <f t="shared" si="246"/>
        <v>515123</v>
      </c>
      <c r="K1208" t="s">
        <v>19</v>
      </c>
      <c r="L1208">
        <v>49</v>
      </c>
      <c r="M1208">
        <v>49</v>
      </c>
      <c r="N1208">
        <v>0</v>
      </c>
      <c r="O1208" s="1">
        <v>45583.329618055555</v>
      </c>
      <c r="P1208" t="s">
        <v>122</v>
      </c>
    </row>
    <row r="1209" spans="1:16" x14ac:dyDescent="0.3">
      <c r="A1209" t="s">
        <v>25</v>
      </c>
      <c r="B1209" s="1">
        <v>45583.329618055555</v>
      </c>
      <c r="C1209" t="str">
        <f t="shared" si="245"/>
        <v>41</v>
      </c>
      <c r="D1209" t="s">
        <v>120</v>
      </c>
      <c r="E1209" t="s">
        <v>116</v>
      </c>
      <c r="F1209" t="s">
        <v>117</v>
      </c>
      <c r="H1209" t="s">
        <v>349</v>
      </c>
      <c r="I1209" t="str">
        <f>"101050002017659"</f>
        <v>101050002017659</v>
      </c>
      <c r="J1209" t="str">
        <f t="shared" si="246"/>
        <v>515123</v>
      </c>
      <c r="K1209" t="s">
        <v>19</v>
      </c>
      <c r="L1209">
        <v>49</v>
      </c>
      <c r="M1209">
        <v>49</v>
      </c>
      <c r="N1209">
        <v>0</v>
      </c>
      <c r="O1209" s="1">
        <v>45583.329618055555</v>
      </c>
      <c r="P1209" t="s">
        <v>122</v>
      </c>
    </row>
    <row r="1210" spans="1:16" x14ac:dyDescent="0.3">
      <c r="A1210" t="s">
        <v>25</v>
      </c>
      <c r="B1210" s="1">
        <v>45583.328645833331</v>
      </c>
      <c r="C1210" t="str">
        <f>"38"</f>
        <v>38</v>
      </c>
      <c r="D1210" t="s">
        <v>115</v>
      </c>
      <c r="E1210" t="s">
        <v>116</v>
      </c>
      <c r="F1210" t="s">
        <v>117</v>
      </c>
      <c r="H1210" t="s">
        <v>350</v>
      </c>
      <c r="L1210">
        <v>0</v>
      </c>
      <c r="M1210">
        <v>0</v>
      </c>
      <c r="N1210">
        <v>0</v>
      </c>
      <c r="O1210" s="1">
        <v>45583.328645833331</v>
      </c>
      <c r="P1210" t="s">
        <v>125</v>
      </c>
    </row>
    <row r="1211" spans="1:16" x14ac:dyDescent="0.3">
      <c r="A1211" t="s">
        <v>25</v>
      </c>
      <c r="B1211" s="1">
        <v>45583.328645833331</v>
      </c>
      <c r="C1211" t="str">
        <f t="shared" ref="C1211:C1217" si="247">"41"</f>
        <v>41</v>
      </c>
      <c r="D1211" t="s">
        <v>120</v>
      </c>
      <c r="E1211" t="s">
        <v>116</v>
      </c>
      <c r="F1211" t="s">
        <v>117</v>
      </c>
      <c r="H1211" t="s">
        <v>350</v>
      </c>
      <c r="I1211" t="str">
        <f>"101050002023416"</f>
        <v>101050002023416</v>
      </c>
      <c r="J1211" t="str">
        <f t="shared" ref="J1211:J1217" si="248">"515122"</f>
        <v>515122</v>
      </c>
      <c r="K1211" t="s">
        <v>4</v>
      </c>
      <c r="L1211">
        <v>49</v>
      </c>
      <c r="M1211">
        <v>49</v>
      </c>
      <c r="N1211">
        <v>0</v>
      </c>
      <c r="O1211" s="1">
        <v>45583.328645833331</v>
      </c>
      <c r="P1211" t="s">
        <v>125</v>
      </c>
    </row>
    <row r="1212" spans="1:16" x14ac:dyDescent="0.3">
      <c r="A1212" t="s">
        <v>25</v>
      </c>
      <c r="B1212" s="1">
        <v>45583.328645833331</v>
      </c>
      <c r="C1212" t="str">
        <f t="shared" si="247"/>
        <v>41</v>
      </c>
      <c r="D1212" t="s">
        <v>120</v>
      </c>
      <c r="E1212" t="s">
        <v>116</v>
      </c>
      <c r="F1212" t="s">
        <v>117</v>
      </c>
      <c r="H1212" t="s">
        <v>350</v>
      </c>
      <c r="I1212" t="str">
        <f>"101050002022911"</f>
        <v>101050002022911</v>
      </c>
      <c r="J1212" t="str">
        <f t="shared" si="248"/>
        <v>515122</v>
      </c>
      <c r="K1212" t="s">
        <v>4</v>
      </c>
      <c r="L1212">
        <v>49</v>
      </c>
      <c r="M1212">
        <v>49</v>
      </c>
      <c r="N1212">
        <v>0</v>
      </c>
      <c r="O1212" s="1">
        <v>45583.328645833331</v>
      </c>
      <c r="P1212" t="s">
        <v>125</v>
      </c>
    </row>
    <row r="1213" spans="1:16" x14ac:dyDescent="0.3">
      <c r="A1213" t="s">
        <v>25</v>
      </c>
      <c r="B1213" s="1">
        <v>45583.328645833331</v>
      </c>
      <c r="C1213" t="str">
        <f t="shared" si="247"/>
        <v>41</v>
      </c>
      <c r="D1213" t="s">
        <v>120</v>
      </c>
      <c r="E1213" t="s">
        <v>116</v>
      </c>
      <c r="F1213" t="s">
        <v>117</v>
      </c>
      <c r="H1213" t="s">
        <v>350</v>
      </c>
      <c r="I1213" t="str">
        <f>"101050002023378"</f>
        <v>101050002023378</v>
      </c>
      <c r="J1213" t="str">
        <f t="shared" si="248"/>
        <v>515122</v>
      </c>
      <c r="K1213" t="s">
        <v>4</v>
      </c>
      <c r="L1213">
        <v>49</v>
      </c>
      <c r="M1213">
        <v>49</v>
      </c>
      <c r="N1213">
        <v>0</v>
      </c>
      <c r="O1213" s="1">
        <v>45583.328645833331</v>
      </c>
      <c r="P1213" t="s">
        <v>125</v>
      </c>
    </row>
    <row r="1214" spans="1:16" x14ac:dyDescent="0.3">
      <c r="A1214" t="s">
        <v>25</v>
      </c>
      <c r="B1214" s="1">
        <v>45583.328645833331</v>
      </c>
      <c r="C1214" t="str">
        <f t="shared" si="247"/>
        <v>41</v>
      </c>
      <c r="D1214" t="s">
        <v>120</v>
      </c>
      <c r="E1214" t="s">
        <v>116</v>
      </c>
      <c r="F1214" t="s">
        <v>117</v>
      </c>
      <c r="H1214" t="s">
        <v>350</v>
      </c>
      <c r="I1214" t="str">
        <f>"101050002023380"</f>
        <v>101050002023380</v>
      </c>
      <c r="J1214" t="str">
        <f t="shared" si="248"/>
        <v>515122</v>
      </c>
      <c r="K1214" t="s">
        <v>4</v>
      </c>
      <c r="L1214">
        <v>49</v>
      </c>
      <c r="M1214">
        <v>49</v>
      </c>
      <c r="N1214">
        <v>0</v>
      </c>
      <c r="O1214" s="1">
        <v>45583.328645833331</v>
      </c>
      <c r="P1214" t="s">
        <v>125</v>
      </c>
    </row>
    <row r="1215" spans="1:16" x14ac:dyDescent="0.3">
      <c r="A1215" t="s">
        <v>25</v>
      </c>
      <c r="B1215" s="1">
        <v>45583.328645833331</v>
      </c>
      <c r="C1215" t="str">
        <f t="shared" si="247"/>
        <v>41</v>
      </c>
      <c r="D1215" t="s">
        <v>120</v>
      </c>
      <c r="E1215" t="s">
        <v>116</v>
      </c>
      <c r="F1215" t="s">
        <v>117</v>
      </c>
      <c r="H1215" t="s">
        <v>350</v>
      </c>
      <c r="I1215" t="str">
        <f>"101050002022935"</f>
        <v>101050002022935</v>
      </c>
      <c r="J1215" t="str">
        <f t="shared" si="248"/>
        <v>515122</v>
      </c>
      <c r="K1215" t="s">
        <v>4</v>
      </c>
      <c r="L1215">
        <v>49</v>
      </c>
      <c r="M1215">
        <v>49</v>
      </c>
      <c r="N1215">
        <v>0</v>
      </c>
      <c r="O1215" s="1">
        <v>45583.328645833331</v>
      </c>
      <c r="P1215" t="s">
        <v>125</v>
      </c>
    </row>
    <row r="1216" spans="1:16" x14ac:dyDescent="0.3">
      <c r="A1216" t="s">
        <v>25</v>
      </c>
      <c r="B1216" s="1">
        <v>45583.328645833331</v>
      </c>
      <c r="C1216" t="str">
        <f t="shared" si="247"/>
        <v>41</v>
      </c>
      <c r="D1216" t="s">
        <v>120</v>
      </c>
      <c r="E1216" t="s">
        <v>116</v>
      </c>
      <c r="F1216" t="s">
        <v>117</v>
      </c>
      <c r="H1216" t="s">
        <v>350</v>
      </c>
      <c r="I1216" t="str">
        <f>"101050002022930"</f>
        <v>101050002022930</v>
      </c>
      <c r="J1216" t="str">
        <f t="shared" si="248"/>
        <v>515122</v>
      </c>
      <c r="K1216" t="s">
        <v>4</v>
      </c>
      <c r="L1216">
        <v>49</v>
      </c>
      <c r="M1216">
        <v>49</v>
      </c>
      <c r="N1216">
        <v>0</v>
      </c>
      <c r="O1216" s="1">
        <v>45583.328645833331</v>
      </c>
      <c r="P1216" t="s">
        <v>125</v>
      </c>
    </row>
    <row r="1217" spans="1:16" x14ac:dyDescent="0.3">
      <c r="A1217" t="s">
        <v>25</v>
      </c>
      <c r="B1217" s="1">
        <v>45583.328634259262</v>
      </c>
      <c r="C1217" t="str">
        <f t="shared" si="247"/>
        <v>41</v>
      </c>
      <c r="D1217" t="s">
        <v>120</v>
      </c>
      <c r="E1217" t="s">
        <v>116</v>
      </c>
      <c r="F1217" t="s">
        <v>117</v>
      </c>
      <c r="H1217" t="s">
        <v>350</v>
      </c>
      <c r="I1217" t="str">
        <f>"101050002022934"</f>
        <v>101050002022934</v>
      </c>
      <c r="J1217" t="str">
        <f t="shared" si="248"/>
        <v>515122</v>
      </c>
      <c r="K1217" t="s">
        <v>4</v>
      </c>
      <c r="L1217">
        <v>49</v>
      </c>
      <c r="M1217">
        <v>49</v>
      </c>
      <c r="N1217">
        <v>0</v>
      </c>
      <c r="O1217" s="1">
        <v>45583.328634259262</v>
      </c>
      <c r="P1217" t="s">
        <v>125</v>
      </c>
    </row>
    <row r="1218" spans="1:16" x14ac:dyDescent="0.3">
      <c r="A1218" t="s">
        <v>25</v>
      </c>
      <c r="B1218" s="1">
        <v>45583.327407407407</v>
      </c>
      <c r="C1218" t="str">
        <f>"38"</f>
        <v>38</v>
      </c>
      <c r="D1218" t="s">
        <v>115</v>
      </c>
      <c r="E1218" t="s">
        <v>116</v>
      </c>
      <c r="F1218" t="s">
        <v>117</v>
      </c>
      <c r="H1218" t="s">
        <v>351</v>
      </c>
      <c r="L1218">
        <v>0</v>
      </c>
      <c r="M1218">
        <v>0</v>
      </c>
      <c r="N1218">
        <v>0</v>
      </c>
      <c r="O1218" s="1">
        <v>45583.327407407407</v>
      </c>
      <c r="P1218" t="s">
        <v>125</v>
      </c>
    </row>
    <row r="1219" spans="1:16" x14ac:dyDescent="0.3">
      <c r="A1219" t="s">
        <v>25</v>
      </c>
      <c r="B1219" s="1">
        <v>45583.327407407407</v>
      </c>
      <c r="C1219" t="str">
        <f t="shared" ref="C1219:C1225" si="249">"41"</f>
        <v>41</v>
      </c>
      <c r="D1219" t="s">
        <v>120</v>
      </c>
      <c r="E1219" t="s">
        <v>116</v>
      </c>
      <c r="F1219" t="s">
        <v>117</v>
      </c>
      <c r="H1219" t="s">
        <v>351</v>
      </c>
      <c r="I1219" t="str">
        <f>"101050002024508"</f>
        <v>101050002024508</v>
      </c>
      <c r="J1219" t="str">
        <f t="shared" ref="J1219:J1225" si="250">"515122"</f>
        <v>515122</v>
      </c>
      <c r="K1219" t="s">
        <v>4</v>
      </c>
      <c r="L1219">
        <v>49</v>
      </c>
      <c r="M1219">
        <v>49</v>
      </c>
      <c r="N1219">
        <v>0</v>
      </c>
      <c r="O1219" s="1">
        <v>45583.327407407407</v>
      </c>
      <c r="P1219" t="s">
        <v>125</v>
      </c>
    </row>
    <row r="1220" spans="1:16" x14ac:dyDescent="0.3">
      <c r="A1220" t="s">
        <v>25</v>
      </c>
      <c r="B1220" s="1">
        <v>45583.327407407407</v>
      </c>
      <c r="C1220" t="str">
        <f t="shared" si="249"/>
        <v>41</v>
      </c>
      <c r="D1220" t="s">
        <v>120</v>
      </c>
      <c r="E1220" t="s">
        <v>116</v>
      </c>
      <c r="F1220" t="s">
        <v>117</v>
      </c>
      <c r="H1220" t="s">
        <v>351</v>
      </c>
      <c r="I1220" t="str">
        <f>"101050002024325"</f>
        <v>101050002024325</v>
      </c>
      <c r="J1220" t="str">
        <f t="shared" si="250"/>
        <v>515122</v>
      </c>
      <c r="K1220" t="s">
        <v>4</v>
      </c>
      <c r="L1220">
        <v>49</v>
      </c>
      <c r="M1220">
        <v>49</v>
      </c>
      <c r="N1220">
        <v>0</v>
      </c>
      <c r="O1220" s="1">
        <v>45583.327407407407</v>
      </c>
      <c r="P1220" t="s">
        <v>125</v>
      </c>
    </row>
    <row r="1221" spans="1:16" x14ac:dyDescent="0.3">
      <c r="A1221" t="s">
        <v>25</v>
      </c>
      <c r="B1221" s="1">
        <v>45583.327407407407</v>
      </c>
      <c r="C1221" t="str">
        <f t="shared" si="249"/>
        <v>41</v>
      </c>
      <c r="D1221" t="s">
        <v>120</v>
      </c>
      <c r="E1221" t="s">
        <v>116</v>
      </c>
      <c r="F1221" t="s">
        <v>117</v>
      </c>
      <c r="H1221" t="s">
        <v>351</v>
      </c>
      <c r="I1221" t="str">
        <f>"101050002024324"</f>
        <v>101050002024324</v>
      </c>
      <c r="J1221" t="str">
        <f t="shared" si="250"/>
        <v>515122</v>
      </c>
      <c r="K1221" t="s">
        <v>4</v>
      </c>
      <c r="L1221">
        <v>49</v>
      </c>
      <c r="M1221">
        <v>49</v>
      </c>
      <c r="N1221">
        <v>0</v>
      </c>
      <c r="O1221" s="1">
        <v>45583.327407407407</v>
      </c>
      <c r="P1221" t="s">
        <v>125</v>
      </c>
    </row>
    <row r="1222" spans="1:16" x14ac:dyDescent="0.3">
      <c r="A1222" t="s">
        <v>25</v>
      </c>
      <c r="B1222" s="1">
        <v>45583.32739583333</v>
      </c>
      <c r="C1222" t="str">
        <f t="shared" si="249"/>
        <v>41</v>
      </c>
      <c r="D1222" t="s">
        <v>120</v>
      </c>
      <c r="E1222" t="s">
        <v>116</v>
      </c>
      <c r="F1222" t="s">
        <v>117</v>
      </c>
      <c r="H1222" t="s">
        <v>351</v>
      </c>
      <c r="I1222" t="str">
        <f>"101050002024686"</f>
        <v>101050002024686</v>
      </c>
      <c r="J1222" t="str">
        <f t="shared" si="250"/>
        <v>515122</v>
      </c>
      <c r="K1222" t="s">
        <v>4</v>
      </c>
      <c r="L1222">
        <v>49</v>
      </c>
      <c r="M1222">
        <v>49</v>
      </c>
      <c r="N1222">
        <v>0</v>
      </c>
      <c r="O1222" s="1">
        <v>45583.32739583333</v>
      </c>
      <c r="P1222" t="s">
        <v>125</v>
      </c>
    </row>
    <row r="1223" spans="1:16" x14ac:dyDescent="0.3">
      <c r="A1223" t="s">
        <v>25</v>
      </c>
      <c r="B1223" s="1">
        <v>45583.32739583333</v>
      </c>
      <c r="C1223" t="str">
        <f t="shared" si="249"/>
        <v>41</v>
      </c>
      <c r="D1223" t="s">
        <v>120</v>
      </c>
      <c r="E1223" t="s">
        <v>116</v>
      </c>
      <c r="F1223" t="s">
        <v>117</v>
      </c>
      <c r="H1223" t="s">
        <v>351</v>
      </c>
      <c r="I1223" t="str">
        <f>"101050002024262"</f>
        <v>101050002024262</v>
      </c>
      <c r="J1223" t="str">
        <f t="shared" si="250"/>
        <v>515122</v>
      </c>
      <c r="K1223" t="s">
        <v>4</v>
      </c>
      <c r="L1223">
        <v>49</v>
      </c>
      <c r="M1223">
        <v>49</v>
      </c>
      <c r="N1223">
        <v>0</v>
      </c>
      <c r="O1223" s="1">
        <v>45583.32739583333</v>
      </c>
      <c r="P1223" t="s">
        <v>125</v>
      </c>
    </row>
    <row r="1224" spans="1:16" x14ac:dyDescent="0.3">
      <c r="A1224" t="s">
        <v>25</v>
      </c>
      <c r="B1224" s="1">
        <v>45583.32739583333</v>
      </c>
      <c r="C1224" t="str">
        <f t="shared" si="249"/>
        <v>41</v>
      </c>
      <c r="D1224" t="s">
        <v>120</v>
      </c>
      <c r="E1224" t="s">
        <v>116</v>
      </c>
      <c r="F1224" t="s">
        <v>117</v>
      </c>
      <c r="H1224" t="s">
        <v>351</v>
      </c>
      <c r="I1224" t="str">
        <f>"101050002024506"</f>
        <v>101050002024506</v>
      </c>
      <c r="J1224" t="str">
        <f t="shared" si="250"/>
        <v>515122</v>
      </c>
      <c r="K1224" t="s">
        <v>4</v>
      </c>
      <c r="L1224">
        <v>49</v>
      </c>
      <c r="M1224">
        <v>49</v>
      </c>
      <c r="N1224">
        <v>0</v>
      </c>
      <c r="O1224" s="1">
        <v>45583.32739583333</v>
      </c>
      <c r="P1224" t="s">
        <v>125</v>
      </c>
    </row>
    <row r="1225" spans="1:16" x14ac:dyDescent="0.3">
      <c r="A1225" t="s">
        <v>25</v>
      </c>
      <c r="B1225" s="1">
        <v>45583.32739583333</v>
      </c>
      <c r="C1225" t="str">
        <f t="shared" si="249"/>
        <v>41</v>
      </c>
      <c r="D1225" t="s">
        <v>120</v>
      </c>
      <c r="E1225" t="s">
        <v>116</v>
      </c>
      <c r="F1225" t="s">
        <v>117</v>
      </c>
      <c r="H1225" t="s">
        <v>351</v>
      </c>
      <c r="I1225" t="str">
        <f>"101050002024242"</f>
        <v>101050002024242</v>
      </c>
      <c r="J1225" t="str">
        <f t="shared" si="250"/>
        <v>515122</v>
      </c>
      <c r="K1225" t="s">
        <v>4</v>
      </c>
      <c r="L1225">
        <v>49</v>
      </c>
      <c r="M1225">
        <v>49</v>
      </c>
      <c r="N1225">
        <v>0</v>
      </c>
      <c r="O1225" s="1">
        <v>45583.32739583333</v>
      </c>
      <c r="P1225" t="s">
        <v>125</v>
      </c>
    </row>
    <row r="1226" spans="1:16" x14ac:dyDescent="0.3">
      <c r="A1226" t="s">
        <v>25</v>
      </c>
      <c r="B1226" s="1">
        <v>45583.328506944446</v>
      </c>
      <c r="C1226" t="str">
        <f t="shared" ref="C1226:C1237" si="251">"38"</f>
        <v>38</v>
      </c>
      <c r="D1226" t="s">
        <v>115</v>
      </c>
      <c r="E1226" t="s">
        <v>116</v>
      </c>
      <c r="F1226" t="s">
        <v>117</v>
      </c>
      <c r="H1226" t="s">
        <v>352</v>
      </c>
      <c r="L1226">
        <v>0</v>
      </c>
      <c r="M1226">
        <v>0</v>
      </c>
      <c r="N1226">
        <v>0</v>
      </c>
      <c r="O1226" s="1">
        <v>45583.328506944446</v>
      </c>
      <c r="P1226" t="s">
        <v>353</v>
      </c>
    </row>
    <row r="1227" spans="1:16" x14ac:dyDescent="0.3">
      <c r="A1227" t="s">
        <v>25</v>
      </c>
      <c r="B1227" s="1">
        <v>45583.328368055554</v>
      </c>
      <c r="C1227" t="str">
        <f t="shared" si="251"/>
        <v>38</v>
      </c>
      <c r="D1227" t="s">
        <v>115</v>
      </c>
      <c r="E1227" t="s">
        <v>116</v>
      </c>
      <c r="F1227" t="s">
        <v>117</v>
      </c>
      <c r="H1227" t="s">
        <v>354</v>
      </c>
      <c r="L1227">
        <v>0</v>
      </c>
      <c r="M1227">
        <v>0</v>
      </c>
      <c r="N1227">
        <v>0</v>
      </c>
      <c r="O1227" s="1">
        <v>45583.328368055554</v>
      </c>
      <c r="P1227" t="s">
        <v>353</v>
      </c>
    </row>
    <row r="1228" spans="1:16" x14ac:dyDescent="0.3">
      <c r="A1228" t="s">
        <v>25</v>
      </c>
      <c r="B1228" s="1">
        <v>45583.328229166669</v>
      </c>
      <c r="C1228" t="str">
        <f t="shared" si="251"/>
        <v>38</v>
      </c>
      <c r="D1228" t="s">
        <v>115</v>
      </c>
      <c r="E1228" t="s">
        <v>116</v>
      </c>
      <c r="F1228" t="s">
        <v>117</v>
      </c>
      <c r="H1228" t="s">
        <v>355</v>
      </c>
      <c r="L1228">
        <v>0</v>
      </c>
      <c r="M1228">
        <v>0</v>
      </c>
      <c r="N1228">
        <v>0</v>
      </c>
      <c r="O1228" s="1">
        <v>45583.328229166669</v>
      </c>
      <c r="P1228" t="s">
        <v>353</v>
      </c>
    </row>
    <row r="1229" spans="1:16" x14ac:dyDescent="0.3">
      <c r="A1229" t="s">
        <v>25</v>
      </c>
      <c r="B1229" s="1">
        <v>45583.3280787037</v>
      </c>
      <c r="C1229" t="str">
        <f t="shared" si="251"/>
        <v>38</v>
      </c>
      <c r="D1229" t="s">
        <v>115</v>
      </c>
      <c r="E1229" t="s">
        <v>116</v>
      </c>
      <c r="F1229" t="s">
        <v>117</v>
      </c>
      <c r="H1229" t="s">
        <v>355</v>
      </c>
      <c r="L1229">
        <v>0</v>
      </c>
      <c r="M1229">
        <v>0</v>
      </c>
      <c r="N1229">
        <v>0</v>
      </c>
      <c r="O1229" s="1">
        <v>45583.3280787037</v>
      </c>
      <c r="P1229" t="s">
        <v>353</v>
      </c>
    </row>
    <row r="1230" spans="1:16" x14ac:dyDescent="0.3">
      <c r="A1230" t="s">
        <v>25</v>
      </c>
      <c r="B1230" s="1">
        <v>45583.327962962961</v>
      </c>
      <c r="C1230" t="str">
        <f t="shared" si="251"/>
        <v>38</v>
      </c>
      <c r="D1230" t="s">
        <v>115</v>
      </c>
      <c r="E1230" t="s">
        <v>116</v>
      </c>
      <c r="F1230" t="s">
        <v>117</v>
      </c>
      <c r="H1230" t="s">
        <v>356</v>
      </c>
      <c r="L1230">
        <v>0</v>
      </c>
      <c r="M1230">
        <v>0</v>
      </c>
      <c r="N1230">
        <v>0</v>
      </c>
      <c r="O1230" s="1">
        <v>45583.327962962961</v>
      </c>
      <c r="P1230" t="s">
        <v>353</v>
      </c>
    </row>
    <row r="1231" spans="1:16" x14ac:dyDescent="0.3">
      <c r="A1231" t="s">
        <v>25</v>
      </c>
      <c r="B1231" s="1">
        <v>45583.327789351853</v>
      </c>
      <c r="C1231" t="str">
        <f t="shared" si="251"/>
        <v>38</v>
      </c>
      <c r="D1231" t="s">
        <v>115</v>
      </c>
      <c r="E1231" t="s">
        <v>116</v>
      </c>
      <c r="F1231" t="s">
        <v>117</v>
      </c>
      <c r="H1231" t="s">
        <v>357</v>
      </c>
      <c r="L1231">
        <v>0</v>
      </c>
      <c r="M1231">
        <v>0</v>
      </c>
      <c r="N1231">
        <v>0</v>
      </c>
      <c r="O1231" s="1">
        <v>45583.327789351853</v>
      </c>
      <c r="P1231" t="s">
        <v>353</v>
      </c>
    </row>
    <row r="1232" spans="1:16" x14ac:dyDescent="0.3">
      <c r="A1232" t="s">
        <v>25</v>
      </c>
      <c r="B1232" s="1">
        <v>45583.327638888892</v>
      </c>
      <c r="C1232" t="str">
        <f t="shared" si="251"/>
        <v>38</v>
      </c>
      <c r="D1232" t="s">
        <v>115</v>
      </c>
      <c r="E1232" t="s">
        <v>116</v>
      </c>
      <c r="F1232" t="s">
        <v>117</v>
      </c>
      <c r="H1232" t="s">
        <v>358</v>
      </c>
      <c r="L1232">
        <v>0</v>
      </c>
      <c r="M1232">
        <v>0</v>
      </c>
      <c r="N1232">
        <v>0</v>
      </c>
      <c r="O1232" s="1">
        <v>45583.327638888892</v>
      </c>
      <c r="P1232" t="s">
        <v>353</v>
      </c>
    </row>
    <row r="1233" spans="1:16" x14ac:dyDescent="0.3">
      <c r="A1233" t="s">
        <v>25</v>
      </c>
      <c r="B1233" s="1">
        <v>45583.327465277776</v>
      </c>
      <c r="C1233" t="str">
        <f t="shared" si="251"/>
        <v>38</v>
      </c>
      <c r="D1233" t="s">
        <v>115</v>
      </c>
      <c r="E1233" t="s">
        <v>116</v>
      </c>
      <c r="F1233" t="s">
        <v>117</v>
      </c>
      <c r="H1233" t="s">
        <v>359</v>
      </c>
      <c r="L1233">
        <v>0</v>
      </c>
      <c r="M1233">
        <v>0</v>
      </c>
      <c r="N1233">
        <v>0</v>
      </c>
      <c r="O1233" s="1">
        <v>45583.327465277776</v>
      </c>
      <c r="P1233" t="s">
        <v>353</v>
      </c>
    </row>
    <row r="1234" spans="1:16" x14ac:dyDescent="0.3">
      <c r="A1234" t="s">
        <v>25</v>
      </c>
      <c r="B1234" s="1">
        <v>45583.327233796299</v>
      </c>
      <c r="C1234" t="str">
        <f t="shared" si="251"/>
        <v>38</v>
      </c>
      <c r="D1234" t="s">
        <v>115</v>
      </c>
      <c r="E1234" t="s">
        <v>116</v>
      </c>
      <c r="F1234" t="s">
        <v>117</v>
      </c>
      <c r="H1234" t="s">
        <v>360</v>
      </c>
      <c r="L1234">
        <v>0</v>
      </c>
      <c r="M1234">
        <v>0</v>
      </c>
      <c r="N1234">
        <v>0</v>
      </c>
      <c r="O1234" s="1">
        <v>45583.327233796299</v>
      </c>
      <c r="P1234" t="s">
        <v>353</v>
      </c>
    </row>
    <row r="1235" spans="1:16" x14ac:dyDescent="0.3">
      <c r="A1235" t="s">
        <v>25</v>
      </c>
      <c r="B1235" s="1">
        <v>45583.327048611114</v>
      </c>
      <c r="C1235" t="str">
        <f t="shared" si="251"/>
        <v>38</v>
      </c>
      <c r="D1235" t="s">
        <v>115</v>
      </c>
      <c r="E1235" t="s">
        <v>116</v>
      </c>
      <c r="F1235" t="s">
        <v>117</v>
      </c>
      <c r="H1235" t="s">
        <v>361</v>
      </c>
      <c r="L1235">
        <v>0</v>
      </c>
      <c r="M1235">
        <v>0</v>
      </c>
      <c r="N1235">
        <v>0</v>
      </c>
      <c r="O1235" s="1">
        <v>45583.327048611114</v>
      </c>
      <c r="P1235" t="s">
        <v>353</v>
      </c>
    </row>
    <row r="1236" spans="1:16" x14ac:dyDescent="0.3">
      <c r="A1236" t="s">
        <v>25</v>
      </c>
      <c r="B1236" s="1">
        <v>45583.326817129629</v>
      </c>
      <c r="C1236" t="str">
        <f t="shared" si="251"/>
        <v>38</v>
      </c>
      <c r="D1236" t="s">
        <v>115</v>
      </c>
      <c r="E1236" t="s">
        <v>116</v>
      </c>
      <c r="F1236" t="s">
        <v>117</v>
      </c>
      <c r="H1236" t="s">
        <v>362</v>
      </c>
      <c r="L1236">
        <v>0</v>
      </c>
      <c r="M1236">
        <v>0</v>
      </c>
      <c r="N1236">
        <v>0</v>
      </c>
      <c r="O1236" s="1">
        <v>45583.326817129629</v>
      </c>
      <c r="P1236" t="s">
        <v>353</v>
      </c>
    </row>
    <row r="1237" spans="1:16" x14ac:dyDescent="0.3">
      <c r="A1237" t="s">
        <v>25</v>
      </c>
      <c r="B1237" s="1">
        <v>45583.32712962963</v>
      </c>
      <c r="C1237" t="str">
        <f t="shared" si="251"/>
        <v>38</v>
      </c>
      <c r="D1237" t="s">
        <v>115</v>
      </c>
      <c r="E1237" t="s">
        <v>116</v>
      </c>
      <c r="F1237" t="s">
        <v>117</v>
      </c>
      <c r="H1237" t="s">
        <v>363</v>
      </c>
      <c r="L1237">
        <v>0</v>
      </c>
      <c r="M1237">
        <v>0</v>
      </c>
      <c r="N1237">
        <v>0</v>
      </c>
      <c r="O1237" s="1">
        <v>45583.32712962963</v>
      </c>
      <c r="P1237" t="s">
        <v>122</v>
      </c>
    </row>
    <row r="1238" spans="1:16" x14ac:dyDescent="0.3">
      <c r="A1238" t="s">
        <v>25</v>
      </c>
      <c r="B1238" s="1">
        <v>45583.32712962963</v>
      </c>
      <c r="C1238" t="str">
        <f>"41"</f>
        <v>41</v>
      </c>
      <c r="D1238" t="s">
        <v>120</v>
      </c>
      <c r="E1238" t="s">
        <v>116</v>
      </c>
      <c r="F1238" t="s">
        <v>117</v>
      </c>
      <c r="H1238" t="s">
        <v>363</v>
      </c>
      <c r="I1238" t="str">
        <f>"101050001965732"</f>
        <v>101050001965732</v>
      </c>
      <c r="J1238" t="str">
        <f>"124358"</f>
        <v>124358</v>
      </c>
      <c r="K1238" t="s">
        <v>33</v>
      </c>
      <c r="L1238">
        <v>91</v>
      </c>
      <c r="M1238">
        <v>91</v>
      </c>
      <c r="N1238">
        <v>0</v>
      </c>
      <c r="O1238" s="1">
        <v>45583.32712962963</v>
      </c>
      <c r="P1238" t="s">
        <v>122</v>
      </c>
    </row>
    <row r="1239" spans="1:16" x14ac:dyDescent="0.3">
      <c r="A1239" t="s">
        <v>25</v>
      </c>
      <c r="B1239" s="1">
        <v>45583.32712962963</v>
      </c>
      <c r="C1239" t="str">
        <f>"41"</f>
        <v>41</v>
      </c>
      <c r="D1239" t="s">
        <v>120</v>
      </c>
      <c r="E1239" t="s">
        <v>116</v>
      </c>
      <c r="F1239" t="s">
        <v>117</v>
      </c>
      <c r="H1239" t="s">
        <v>363</v>
      </c>
      <c r="I1239" t="str">
        <f>"101050001967164"</f>
        <v>101050001967164</v>
      </c>
      <c r="J1239" t="str">
        <f>"124358"</f>
        <v>124358</v>
      </c>
      <c r="K1239" t="s">
        <v>33</v>
      </c>
      <c r="L1239">
        <v>91</v>
      </c>
      <c r="M1239">
        <v>91</v>
      </c>
      <c r="N1239">
        <v>0</v>
      </c>
      <c r="O1239" s="1">
        <v>45583.32712962963</v>
      </c>
      <c r="P1239" t="s">
        <v>122</v>
      </c>
    </row>
    <row r="1240" spans="1:16" x14ac:dyDescent="0.3">
      <c r="A1240" t="s">
        <v>25</v>
      </c>
      <c r="B1240" s="1">
        <v>45583.32712962963</v>
      </c>
      <c r="C1240" t="str">
        <f>"41"</f>
        <v>41</v>
      </c>
      <c r="D1240" t="s">
        <v>120</v>
      </c>
      <c r="E1240" t="s">
        <v>116</v>
      </c>
      <c r="F1240" t="s">
        <v>117</v>
      </c>
      <c r="H1240" t="s">
        <v>363</v>
      </c>
      <c r="I1240" t="str">
        <f>"101050001964953"</f>
        <v>101050001964953</v>
      </c>
      <c r="J1240" t="str">
        <f>"124358"</f>
        <v>124358</v>
      </c>
      <c r="K1240" t="s">
        <v>33</v>
      </c>
      <c r="L1240">
        <v>91</v>
      </c>
      <c r="M1240">
        <v>91</v>
      </c>
      <c r="N1240">
        <v>0</v>
      </c>
      <c r="O1240" s="1">
        <v>45583.32712962963</v>
      </c>
      <c r="P1240" t="s">
        <v>122</v>
      </c>
    </row>
    <row r="1241" spans="1:16" x14ac:dyDescent="0.3">
      <c r="A1241" t="s">
        <v>25</v>
      </c>
      <c r="B1241" s="1">
        <v>45583.326689814814</v>
      </c>
      <c r="C1241" t="str">
        <f t="shared" ref="C1241:C1247" si="252">"38"</f>
        <v>38</v>
      </c>
      <c r="D1241" t="s">
        <v>115</v>
      </c>
      <c r="E1241" t="s">
        <v>116</v>
      </c>
      <c r="F1241" t="s">
        <v>117</v>
      </c>
      <c r="H1241" t="s">
        <v>364</v>
      </c>
      <c r="L1241">
        <v>0</v>
      </c>
      <c r="M1241">
        <v>0</v>
      </c>
      <c r="N1241">
        <v>0</v>
      </c>
      <c r="O1241" s="1">
        <v>45583.326689814814</v>
      </c>
      <c r="P1241" t="s">
        <v>353</v>
      </c>
    </row>
    <row r="1242" spans="1:16" x14ac:dyDescent="0.3">
      <c r="A1242" t="s">
        <v>25</v>
      </c>
      <c r="B1242" s="1">
        <v>45583.32640046296</v>
      </c>
      <c r="C1242" t="str">
        <f t="shared" si="252"/>
        <v>38</v>
      </c>
      <c r="D1242" t="s">
        <v>115</v>
      </c>
      <c r="E1242" t="s">
        <v>116</v>
      </c>
      <c r="F1242" t="s">
        <v>117</v>
      </c>
      <c r="H1242" t="s">
        <v>365</v>
      </c>
      <c r="L1242">
        <v>0</v>
      </c>
      <c r="M1242">
        <v>0</v>
      </c>
      <c r="N1242">
        <v>0</v>
      </c>
      <c r="O1242" s="1">
        <v>45583.32640046296</v>
      </c>
      <c r="P1242" t="s">
        <v>353</v>
      </c>
    </row>
    <row r="1243" spans="1:16" x14ac:dyDescent="0.3">
      <c r="A1243" t="s">
        <v>25</v>
      </c>
      <c r="B1243" s="1">
        <v>45583.326284722221</v>
      </c>
      <c r="C1243" t="str">
        <f t="shared" si="252"/>
        <v>38</v>
      </c>
      <c r="D1243" t="s">
        <v>115</v>
      </c>
      <c r="E1243" t="s">
        <v>116</v>
      </c>
      <c r="F1243" t="s">
        <v>117</v>
      </c>
      <c r="H1243" t="s">
        <v>366</v>
      </c>
      <c r="L1243">
        <v>0</v>
      </c>
      <c r="M1243">
        <v>0</v>
      </c>
      <c r="N1243">
        <v>0</v>
      </c>
      <c r="O1243" s="1">
        <v>45583.326284722221</v>
      </c>
      <c r="P1243" t="s">
        <v>353</v>
      </c>
    </row>
    <row r="1244" spans="1:16" x14ac:dyDescent="0.3">
      <c r="A1244" t="s">
        <v>25</v>
      </c>
      <c r="B1244" s="1">
        <v>45583.32613425926</v>
      </c>
      <c r="C1244" t="str">
        <f t="shared" si="252"/>
        <v>38</v>
      </c>
      <c r="D1244" t="s">
        <v>115</v>
      </c>
      <c r="E1244" t="s">
        <v>116</v>
      </c>
      <c r="F1244" t="s">
        <v>117</v>
      </c>
      <c r="H1244" t="s">
        <v>367</v>
      </c>
      <c r="L1244">
        <v>0</v>
      </c>
      <c r="M1244">
        <v>0</v>
      </c>
      <c r="N1244">
        <v>0</v>
      </c>
      <c r="O1244" s="1">
        <v>45583.32613425926</v>
      </c>
      <c r="P1244" t="s">
        <v>353</v>
      </c>
    </row>
    <row r="1245" spans="1:16" x14ac:dyDescent="0.3">
      <c r="A1245" t="s">
        <v>25</v>
      </c>
      <c r="B1245" s="1">
        <v>45583.325902777775</v>
      </c>
      <c r="C1245" t="str">
        <f t="shared" si="252"/>
        <v>38</v>
      </c>
      <c r="D1245" t="s">
        <v>115</v>
      </c>
      <c r="E1245" t="s">
        <v>116</v>
      </c>
      <c r="F1245" t="s">
        <v>117</v>
      </c>
      <c r="H1245" t="s">
        <v>368</v>
      </c>
      <c r="L1245">
        <v>0</v>
      </c>
      <c r="M1245">
        <v>0</v>
      </c>
      <c r="N1245">
        <v>0</v>
      </c>
      <c r="O1245" s="1">
        <v>45583.325902777775</v>
      </c>
      <c r="P1245" t="s">
        <v>353</v>
      </c>
    </row>
    <row r="1246" spans="1:16" x14ac:dyDescent="0.3">
      <c r="A1246" t="s">
        <v>25</v>
      </c>
      <c r="B1246" s="1">
        <v>45583.325752314813</v>
      </c>
      <c r="C1246" t="str">
        <f t="shared" si="252"/>
        <v>38</v>
      </c>
      <c r="D1246" t="s">
        <v>115</v>
      </c>
      <c r="E1246" t="s">
        <v>116</v>
      </c>
      <c r="F1246" t="s">
        <v>117</v>
      </c>
      <c r="H1246" t="s">
        <v>369</v>
      </c>
      <c r="L1246">
        <v>0</v>
      </c>
      <c r="M1246">
        <v>0</v>
      </c>
      <c r="N1246">
        <v>0</v>
      </c>
      <c r="O1246" s="1">
        <v>45583.325752314813</v>
      </c>
      <c r="P1246" t="s">
        <v>353</v>
      </c>
    </row>
    <row r="1247" spans="1:16" x14ac:dyDescent="0.3">
      <c r="A1247" t="s">
        <v>25</v>
      </c>
      <c r="B1247" s="1">
        <v>45583.325601851851</v>
      </c>
      <c r="C1247" t="str">
        <f t="shared" si="252"/>
        <v>38</v>
      </c>
      <c r="D1247" t="s">
        <v>115</v>
      </c>
      <c r="E1247" t="s">
        <v>116</v>
      </c>
      <c r="F1247" t="s">
        <v>117</v>
      </c>
      <c r="H1247" t="s">
        <v>370</v>
      </c>
      <c r="L1247">
        <v>0</v>
      </c>
      <c r="M1247">
        <v>0</v>
      </c>
      <c r="N1247">
        <v>0</v>
      </c>
      <c r="O1247" s="1">
        <v>45583.325601851851</v>
      </c>
      <c r="P1247" t="s">
        <v>138</v>
      </c>
    </row>
    <row r="1248" spans="1:16" x14ac:dyDescent="0.3">
      <c r="A1248" t="s">
        <v>25</v>
      </c>
      <c r="B1248" s="1">
        <v>45583.325601851851</v>
      </c>
      <c r="C1248" t="str">
        <f t="shared" ref="C1248:C1254" si="253">"41"</f>
        <v>41</v>
      </c>
      <c r="D1248" t="s">
        <v>120</v>
      </c>
      <c r="E1248" t="s">
        <v>116</v>
      </c>
      <c r="F1248" t="s">
        <v>117</v>
      </c>
      <c r="H1248" t="s">
        <v>370</v>
      </c>
      <c r="I1248" t="str">
        <f>"101050002023253"</f>
        <v>101050002023253</v>
      </c>
      <c r="J1248" t="str">
        <f t="shared" ref="J1248:J1254" si="254">"515120"</f>
        <v>515120</v>
      </c>
      <c r="K1248" t="s">
        <v>2</v>
      </c>
      <c r="L1248">
        <v>49</v>
      </c>
      <c r="M1248">
        <v>49</v>
      </c>
      <c r="N1248">
        <v>0</v>
      </c>
      <c r="O1248" s="1">
        <v>45583.325601851851</v>
      </c>
      <c r="P1248" t="s">
        <v>138</v>
      </c>
    </row>
    <row r="1249" spans="1:16" x14ac:dyDescent="0.3">
      <c r="A1249" t="s">
        <v>25</v>
      </c>
      <c r="B1249" s="1">
        <v>45583.325601851851</v>
      </c>
      <c r="C1249" t="str">
        <f t="shared" si="253"/>
        <v>41</v>
      </c>
      <c r="D1249" t="s">
        <v>120</v>
      </c>
      <c r="E1249" t="s">
        <v>116</v>
      </c>
      <c r="F1249" t="s">
        <v>117</v>
      </c>
      <c r="H1249" t="s">
        <v>370</v>
      </c>
      <c r="I1249" t="str">
        <f>"101050002023269"</f>
        <v>101050002023269</v>
      </c>
      <c r="J1249" t="str">
        <f t="shared" si="254"/>
        <v>515120</v>
      </c>
      <c r="K1249" t="s">
        <v>2</v>
      </c>
      <c r="L1249">
        <v>49</v>
      </c>
      <c r="M1249">
        <v>49</v>
      </c>
      <c r="N1249">
        <v>0</v>
      </c>
      <c r="O1249" s="1">
        <v>45583.325601851851</v>
      </c>
      <c r="P1249" t="s">
        <v>138</v>
      </c>
    </row>
    <row r="1250" spans="1:16" x14ac:dyDescent="0.3">
      <c r="A1250" t="s">
        <v>25</v>
      </c>
      <c r="B1250" s="1">
        <v>45583.325601851851</v>
      </c>
      <c r="C1250" t="str">
        <f t="shared" si="253"/>
        <v>41</v>
      </c>
      <c r="D1250" t="s">
        <v>120</v>
      </c>
      <c r="E1250" t="s">
        <v>116</v>
      </c>
      <c r="F1250" t="s">
        <v>117</v>
      </c>
      <c r="H1250" t="s">
        <v>370</v>
      </c>
      <c r="I1250" t="str">
        <f>"101050002023856"</f>
        <v>101050002023856</v>
      </c>
      <c r="J1250" t="str">
        <f t="shared" si="254"/>
        <v>515120</v>
      </c>
      <c r="K1250" t="s">
        <v>2</v>
      </c>
      <c r="L1250">
        <v>49</v>
      </c>
      <c r="M1250">
        <v>49</v>
      </c>
      <c r="N1250">
        <v>0</v>
      </c>
      <c r="O1250" s="1">
        <v>45583.325601851851</v>
      </c>
      <c r="P1250" t="s">
        <v>138</v>
      </c>
    </row>
    <row r="1251" spans="1:16" x14ac:dyDescent="0.3">
      <c r="A1251" t="s">
        <v>25</v>
      </c>
      <c r="B1251" s="1">
        <v>45583.325601851851</v>
      </c>
      <c r="C1251" t="str">
        <f t="shared" si="253"/>
        <v>41</v>
      </c>
      <c r="D1251" t="s">
        <v>120</v>
      </c>
      <c r="E1251" t="s">
        <v>116</v>
      </c>
      <c r="F1251" t="s">
        <v>117</v>
      </c>
      <c r="H1251" t="s">
        <v>370</v>
      </c>
      <c r="I1251" t="str">
        <f>"101050002023832"</f>
        <v>101050002023832</v>
      </c>
      <c r="J1251" t="str">
        <f t="shared" si="254"/>
        <v>515120</v>
      </c>
      <c r="K1251" t="s">
        <v>2</v>
      </c>
      <c r="L1251">
        <v>49</v>
      </c>
      <c r="M1251">
        <v>49</v>
      </c>
      <c r="N1251">
        <v>0</v>
      </c>
      <c r="O1251" s="1">
        <v>45583.325601851851</v>
      </c>
      <c r="P1251" t="s">
        <v>138</v>
      </c>
    </row>
    <row r="1252" spans="1:16" x14ac:dyDescent="0.3">
      <c r="A1252" t="s">
        <v>25</v>
      </c>
      <c r="B1252" s="1">
        <v>45583.325601851851</v>
      </c>
      <c r="C1252" t="str">
        <f t="shared" si="253"/>
        <v>41</v>
      </c>
      <c r="D1252" t="s">
        <v>120</v>
      </c>
      <c r="E1252" t="s">
        <v>116</v>
      </c>
      <c r="F1252" t="s">
        <v>117</v>
      </c>
      <c r="H1252" t="s">
        <v>370</v>
      </c>
      <c r="I1252" t="str">
        <f>"101050002023809"</f>
        <v>101050002023809</v>
      </c>
      <c r="J1252" t="str">
        <f t="shared" si="254"/>
        <v>515120</v>
      </c>
      <c r="K1252" t="s">
        <v>2</v>
      </c>
      <c r="L1252">
        <v>49</v>
      </c>
      <c r="M1252">
        <v>49</v>
      </c>
      <c r="N1252">
        <v>0</v>
      </c>
      <c r="O1252" s="1">
        <v>45583.325601851851</v>
      </c>
      <c r="P1252" t="s">
        <v>138</v>
      </c>
    </row>
    <row r="1253" spans="1:16" x14ac:dyDescent="0.3">
      <c r="A1253" t="s">
        <v>25</v>
      </c>
      <c r="B1253" s="1">
        <v>45583.325601851851</v>
      </c>
      <c r="C1253" t="str">
        <f t="shared" si="253"/>
        <v>41</v>
      </c>
      <c r="D1253" t="s">
        <v>120</v>
      </c>
      <c r="E1253" t="s">
        <v>116</v>
      </c>
      <c r="F1253" t="s">
        <v>117</v>
      </c>
      <c r="H1253" t="s">
        <v>370</v>
      </c>
      <c r="I1253" t="str">
        <f>"101050002023679"</f>
        <v>101050002023679</v>
      </c>
      <c r="J1253" t="str">
        <f t="shared" si="254"/>
        <v>515120</v>
      </c>
      <c r="K1253" t="s">
        <v>2</v>
      </c>
      <c r="L1253">
        <v>49</v>
      </c>
      <c r="M1253">
        <v>49</v>
      </c>
      <c r="N1253">
        <v>0</v>
      </c>
      <c r="O1253" s="1">
        <v>45583.325601851851</v>
      </c>
      <c r="P1253" t="s">
        <v>138</v>
      </c>
    </row>
    <row r="1254" spans="1:16" x14ac:dyDescent="0.3">
      <c r="A1254" t="s">
        <v>25</v>
      </c>
      <c r="B1254" s="1">
        <v>45583.325590277775</v>
      </c>
      <c r="C1254" t="str">
        <f t="shared" si="253"/>
        <v>41</v>
      </c>
      <c r="D1254" t="s">
        <v>120</v>
      </c>
      <c r="E1254" t="s">
        <v>116</v>
      </c>
      <c r="F1254" t="s">
        <v>117</v>
      </c>
      <c r="H1254" t="s">
        <v>370</v>
      </c>
      <c r="I1254" t="str">
        <f>"101050002023808"</f>
        <v>101050002023808</v>
      </c>
      <c r="J1254" t="str">
        <f t="shared" si="254"/>
        <v>515120</v>
      </c>
      <c r="K1254" t="s">
        <v>2</v>
      </c>
      <c r="L1254">
        <v>49</v>
      </c>
      <c r="M1254">
        <v>49</v>
      </c>
      <c r="N1254">
        <v>0</v>
      </c>
      <c r="O1254" s="1">
        <v>45583.325590277775</v>
      </c>
      <c r="P1254" t="s">
        <v>138</v>
      </c>
    </row>
    <row r="1255" spans="1:16" x14ac:dyDescent="0.3">
      <c r="A1255" t="s">
        <v>25</v>
      </c>
      <c r="B1255" s="1">
        <v>45583.325416666667</v>
      </c>
      <c r="C1255" t="str">
        <f>"38"</f>
        <v>38</v>
      </c>
      <c r="D1255" t="s">
        <v>115</v>
      </c>
      <c r="E1255" t="s">
        <v>116</v>
      </c>
      <c r="F1255" t="s">
        <v>117</v>
      </c>
      <c r="H1255" t="s">
        <v>371</v>
      </c>
      <c r="L1255">
        <v>0</v>
      </c>
      <c r="M1255">
        <v>0</v>
      </c>
      <c r="N1255">
        <v>0</v>
      </c>
      <c r="O1255" s="1">
        <v>45583.325416666667</v>
      </c>
      <c r="P1255" t="s">
        <v>353</v>
      </c>
    </row>
    <row r="1256" spans="1:16" x14ac:dyDescent="0.3">
      <c r="A1256" t="s">
        <v>25</v>
      </c>
      <c r="B1256" s="1">
        <v>45583.324988425928</v>
      </c>
      <c r="C1256" t="str">
        <f>"38"</f>
        <v>38</v>
      </c>
      <c r="D1256" t="s">
        <v>115</v>
      </c>
      <c r="E1256" t="s">
        <v>116</v>
      </c>
      <c r="F1256" t="s">
        <v>117</v>
      </c>
      <c r="H1256" t="s">
        <v>372</v>
      </c>
      <c r="L1256">
        <v>0</v>
      </c>
      <c r="M1256">
        <v>0</v>
      </c>
      <c r="N1256">
        <v>0</v>
      </c>
      <c r="O1256" s="1">
        <v>45583.324988425928</v>
      </c>
      <c r="P1256" t="s">
        <v>138</v>
      </c>
    </row>
    <row r="1257" spans="1:16" x14ac:dyDescent="0.3">
      <c r="A1257" t="s">
        <v>25</v>
      </c>
      <c r="B1257" s="1">
        <v>45583.324988425928</v>
      </c>
      <c r="C1257" t="str">
        <f t="shared" ref="C1257:C1262" si="255">"41"</f>
        <v>41</v>
      </c>
      <c r="D1257" t="s">
        <v>120</v>
      </c>
      <c r="E1257" t="s">
        <v>116</v>
      </c>
      <c r="F1257" t="s">
        <v>117</v>
      </c>
      <c r="H1257" t="s">
        <v>372</v>
      </c>
      <c r="I1257" t="str">
        <f>"101050001985452"</f>
        <v>101050001985452</v>
      </c>
      <c r="J1257" t="str">
        <f t="shared" ref="J1257:J1262" si="256">"514913"</f>
        <v>514913</v>
      </c>
      <c r="K1257" t="s">
        <v>93</v>
      </c>
      <c r="L1257">
        <v>91</v>
      </c>
      <c r="M1257">
        <v>91</v>
      </c>
      <c r="N1257">
        <v>0</v>
      </c>
      <c r="O1257" s="1">
        <v>45583.324988425928</v>
      </c>
      <c r="P1257" t="s">
        <v>138</v>
      </c>
    </row>
    <row r="1258" spans="1:16" x14ac:dyDescent="0.3">
      <c r="A1258" t="s">
        <v>25</v>
      </c>
      <c r="B1258" s="1">
        <v>45583.324988425928</v>
      </c>
      <c r="C1258" t="str">
        <f t="shared" si="255"/>
        <v>41</v>
      </c>
      <c r="D1258" t="s">
        <v>120</v>
      </c>
      <c r="E1258" t="s">
        <v>116</v>
      </c>
      <c r="F1258" t="s">
        <v>117</v>
      </c>
      <c r="H1258" t="s">
        <v>372</v>
      </c>
      <c r="I1258" t="str">
        <f>"101050002003335"</f>
        <v>101050002003335</v>
      </c>
      <c r="J1258" t="str">
        <f t="shared" si="256"/>
        <v>514913</v>
      </c>
      <c r="K1258" t="s">
        <v>93</v>
      </c>
      <c r="L1258">
        <v>91</v>
      </c>
      <c r="M1258">
        <v>91</v>
      </c>
      <c r="N1258">
        <v>0</v>
      </c>
      <c r="O1258" s="1">
        <v>45583.324988425928</v>
      </c>
      <c r="P1258" t="s">
        <v>138</v>
      </c>
    </row>
    <row r="1259" spans="1:16" x14ac:dyDescent="0.3">
      <c r="A1259" t="s">
        <v>25</v>
      </c>
      <c r="B1259" s="1">
        <v>45583.324988425928</v>
      </c>
      <c r="C1259" t="str">
        <f t="shared" si="255"/>
        <v>41</v>
      </c>
      <c r="D1259" t="s">
        <v>120</v>
      </c>
      <c r="E1259" t="s">
        <v>116</v>
      </c>
      <c r="F1259" t="s">
        <v>117</v>
      </c>
      <c r="H1259" t="s">
        <v>372</v>
      </c>
      <c r="I1259" t="str">
        <f>"101050001987644"</f>
        <v>101050001987644</v>
      </c>
      <c r="J1259" t="str">
        <f t="shared" si="256"/>
        <v>514913</v>
      </c>
      <c r="K1259" t="s">
        <v>93</v>
      </c>
      <c r="L1259">
        <v>91</v>
      </c>
      <c r="M1259">
        <v>91</v>
      </c>
      <c r="N1259">
        <v>0</v>
      </c>
      <c r="O1259" s="1">
        <v>45583.324988425928</v>
      </c>
      <c r="P1259" t="s">
        <v>138</v>
      </c>
    </row>
    <row r="1260" spans="1:16" x14ac:dyDescent="0.3">
      <c r="A1260" t="s">
        <v>25</v>
      </c>
      <c r="B1260" s="1">
        <v>45583.324976851851</v>
      </c>
      <c r="C1260" t="str">
        <f t="shared" si="255"/>
        <v>41</v>
      </c>
      <c r="D1260" t="s">
        <v>120</v>
      </c>
      <c r="E1260" t="s">
        <v>116</v>
      </c>
      <c r="F1260" t="s">
        <v>117</v>
      </c>
      <c r="H1260" t="s">
        <v>372</v>
      </c>
      <c r="I1260" t="str">
        <f>"101050001985851"</f>
        <v>101050001985851</v>
      </c>
      <c r="J1260" t="str">
        <f t="shared" si="256"/>
        <v>514913</v>
      </c>
      <c r="K1260" t="s">
        <v>93</v>
      </c>
      <c r="L1260">
        <v>91</v>
      </c>
      <c r="M1260">
        <v>91</v>
      </c>
      <c r="N1260">
        <v>0</v>
      </c>
      <c r="O1260" s="1">
        <v>45583.324976851851</v>
      </c>
      <c r="P1260" t="s">
        <v>138</v>
      </c>
    </row>
    <row r="1261" spans="1:16" x14ac:dyDescent="0.3">
      <c r="A1261" t="s">
        <v>25</v>
      </c>
      <c r="B1261" s="1">
        <v>45583.324976851851</v>
      </c>
      <c r="C1261" t="str">
        <f t="shared" si="255"/>
        <v>41</v>
      </c>
      <c r="D1261" t="s">
        <v>120</v>
      </c>
      <c r="E1261" t="s">
        <v>116</v>
      </c>
      <c r="F1261" t="s">
        <v>117</v>
      </c>
      <c r="H1261" t="s">
        <v>372</v>
      </c>
      <c r="I1261" t="str">
        <f>"101050001985561"</f>
        <v>101050001985561</v>
      </c>
      <c r="J1261" t="str">
        <f t="shared" si="256"/>
        <v>514913</v>
      </c>
      <c r="K1261" t="s">
        <v>93</v>
      </c>
      <c r="L1261">
        <v>91</v>
      </c>
      <c r="M1261">
        <v>91</v>
      </c>
      <c r="N1261">
        <v>0</v>
      </c>
      <c r="O1261" s="1">
        <v>45583.324976851851</v>
      </c>
      <c r="P1261" t="s">
        <v>138</v>
      </c>
    </row>
    <row r="1262" spans="1:16" x14ac:dyDescent="0.3">
      <c r="A1262" t="s">
        <v>25</v>
      </c>
      <c r="B1262" s="1">
        <v>45583.324976851851</v>
      </c>
      <c r="C1262" t="str">
        <f t="shared" si="255"/>
        <v>41</v>
      </c>
      <c r="D1262" t="s">
        <v>120</v>
      </c>
      <c r="E1262" t="s">
        <v>116</v>
      </c>
      <c r="F1262" t="s">
        <v>117</v>
      </c>
      <c r="H1262" t="s">
        <v>372</v>
      </c>
      <c r="I1262" t="str">
        <f>"101050001985711"</f>
        <v>101050001985711</v>
      </c>
      <c r="J1262" t="str">
        <f t="shared" si="256"/>
        <v>514913</v>
      </c>
      <c r="K1262" t="s">
        <v>93</v>
      </c>
      <c r="L1262">
        <v>91</v>
      </c>
      <c r="M1262">
        <v>91</v>
      </c>
      <c r="N1262">
        <v>0</v>
      </c>
      <c r="O1262" s="1">
        <v>45583.324976851851</v>
      </c>
      <c r="P1262" t="s">
        <v>138</v>
      </c>
    </row>
    <row r="1263" spans="1:16" x14ac:dyDescent="0.3">
      <c r="A1263" t="s">
        <v>25</v>
      </c>
      <c r="B1263" s="1">
        <v>45583.32371527778</v>
      </c>
      <c r="C1263" t="str">
        <f>"38"</f>
        <v>38</v>
      </c>
      <c r="D1263" t="s">
        <v>115</v>
      </c>
      <c r="E1263" t="s">
        <v>116</v>
      </c>
      <c r="F1263" t="s">
        <v>117</v>
      </c>
      <c r="H1263" t="s">
        <v>373</v>
      </c>
      <c r="L1263">
        <v>0</v>
      </c>
      <c r="M1263">
        <v>0</v>
      </c>
      <c r="N1263">
        <v>0</v>
      </c>
      <c r="O1263" s="1">
        <v>45583.32371527778</v>
      </c>
      <c r="P1263" t="s">
        <v>119</v>
      </c>
    </row>
    <row r="1264" spans="1:16" x14ac:dyDescent="0.3">
      <c r="A1264" t="s">
        <v>25</v>
      </c>
      <c r="B1264" s="1">
        <v>45583.32371527778</v>
      </c>
      <c r="C1264" t="str">
        <f>"41"</f>
        <v>41</v>
      </c>
      <c r="D1264" t="s">
        <v>120</v>
      </c>
      <c r="E1264" t="s">
        <v>116</v>
      </c>
      <c r="F1264" t="s">
        <v>117</v>
      </c>
      <c r="H1264" t="s">
        <v>373</v>
      </c>
      <c r="I1264" t="str">
        <f>"101050002013822"</f>
        <v>101050002013822</v>
      </c>
      <c r="J1264" t="str">
        <f>"124605"</f>
        <v>124605</v>
      </c>
      <c r="K1264" t="s">
        <v>35</v>
      </c>
      <c r="L1264">
        <v>49</v>
      </c>
      <c r="M1264">
        <v>49</v>
      </c>
      <c r="N1264">
        <v>0</v>
      </c>
      <c r="O1264" s="1">
        <v>45583.32371527778</v>
      </c>
      <c r="P1264" t="s">
        <v>119</v>
      </c>
    </row>
    <row r="1265" spans="1:16" x14ac:dyDescent="0.3">
      <c r="A1265" t="s">
        <v>25</v>
      </c>
      <c r="B1265" s="1">
        <v>45583.323159722226</v>
      </c>
      <c r="C1265" t="str">
        <f>"38"</f>
        <v>38</v>
      </c>
      <c r="D1265" t="s">
        <v>115</v>
      </c>
      <c r="E1265" t="s">
        <v>116</v>
      </c>
      <c r="F1265" t="s">
        <v>117</v>
      </c>
      <c r="H1265" t="s">
        <v>374</v>
      </c>
      <c r="L1265">
        <v>0</v>
      </c>
      <c r="M1265">
        <v>0</v>
      </c>
      <c r="N1265">
        <v>0</v>
      </c>
      <c r="O1265" s="1">
        <v>45583.323159722226</v>
      </c>
      <c r="P1265" t="s">
        <v>119</v>
      </c>
    </row>
    <row r="1266" spans="1:16" x14ac:dyDescent="0.3">
      <c r="A1266" t="s">
        <v>25</v>
      </c>
      <c r="B1266" s="1">
        <v>45583.323159722226</v>
      </c>
      <c r="C1266" t="str">
        <f>"41"</f>
        <v>41</v>
      </c>
      <c r="D1266" t="s">
        <v>120</v>
      </c>
      <c r="E1266" t="s">
        <v>116</v>
      </c>
      <c r="F1266" t="s">
        <v>117</v>
      </c>
      <c r="H1266" t="s">
        <v>374</v>
      </c>
      <c r="I1266" t="str">
        <f>"101050001978410"</f>
        <v>101050001978410</v>
      </c>
      <c r="J1266" t="str">
        <f>"514568"</f>
        <v>514568</v>
      </c>
      <c r="K1266" t="s">
        <v>87</v>
      </c>
      <c r="L1266">
        <v>49</v>
      </c>
      <c r="M1266">
        <v>49</v>
      </c>
      <c r="N1266">
        <v>0</v>
      </c>
      <c r="O1266" s="1">
        <v>45583.323159722226</v>
      </c>
      <c r="P1266" t="s">
        <v>119</v>
      </c>
    </row>
    <row r="1267" spans="1:16" x14ac:dyDescent="0.3">
      <c r="A1267" t="s">
        <v>25</v>
      </c>
      <c r="B1267" s="1">
        <v>45583.323159722226</v>
      </c>
      <c r="C1267" t="str">
        <f>"41"</f>
        <v>41</v>
      </c>
      <c r="D1267" t="s">
        <v>120</v>
      </c>
      <c r="E1267" t="s">
        <v>116</v>
      </c>
      <c r="F1267" t="s">
        <v>117</v>
      </c>
      <c r="H1267" t="s">
        <v>374</v>
      </c>
      <c r="I1267" t="str">
        <f>"101050001977673"</f>
        <v>101050001977673</v>
      </c>
      <c r="J1267" t="str">
        <f>"514568"</f>
        <v>514568</v>
      </c>
      <c r="K1267" t="s">
        <v>87</v>
      </c>
      <c r="L1267">
        <v>49</v>
      </c>
      <c r="M1267">
        <v>49</v>
      </c>
      <c r="N1267">
        <v>0</v>
      </c>
      <c r="O1267" s="1">
        <v>45583.323159722226</v>
      </c>
      <c r="P1267" t="s">
        <v>119</v>
      </c>
    </row>
    <row r="1268" spans="1:16" x14ac:dyDescent="0.3">
      <c r="A1268" t="s">
        <v>25</v>
      </c>
      <c r="B1268" s="1">
        <v>45583.323159722226</v>
      </c>
      <c r="C1268" t="str">
        <f>"41"</f>
        <v>41</v>
      </c>
      <c r="D1268" t="s">
        <v>120</v>
      </c>
      <c r="E1268" t="s">
        <v>116</v>
      </c>
      <c r="F1268" t="s">
        <v>117</v>
      </c>
      <c r="H1268" t="s">
        <v>374</v>
      </c>
      <c r="I1268" t="str">
        <f>"101050001977411"</f>
        <v>101050001977411</v>
      </c>
      <c r="J1268" t="str">
        <f>"514568"</f>
        <v>514568</v>
      </c>
      <c r="K1268" t="s">
        <v>87</v>
      </c>
      <c r="L1268">
        <v>49</v>
      </c>
      <c r="M1268">
        <v>49</v>
      </c>
      <c r="N1268">
        <v>0</v>
      </c>
      <c r="O1268" s="1">
        <v>45583.323159722226</v>
      </c>
      <c r="P1268" t="s">
        <v>119</v>
      </c>
    </row>
    <row r="1269" spans="1:16" x14ac:dyDescent="0.3">
      <c r="A1269" t="s">
        <v>25</v>
      </c>
      <c r="B1269" s="1">
        <v>45583.323159722226</v>
      </c>
      <c r="C1269" t="str">
        <f>"41"</f>
        <v>41</v>
      </c>
      <c r="D1269" t="s">
        <v>120</v>
      </c>
      <c r="E1269" t="s">
        <v>116</v>
      </c>
      <c r="F1269" t="s">
        <v>117</v>
      </c>
      <c r="H1269" t="s">
        <v>374</v>
      </c>
      <c r="I1269" t="str">
        <f>"101050001977631"</f>
        <v>101050001977631</v>
      </c>
      <c r="J1269" t="str">
        <f>"514568"</f>
        <v>514568</v>
      </c>
      <c r="K1269" t="s">
        <v>87</v>
      </c>
      <c r="L1269">
        <v>49</v>
      </c>
      <c r="M1269">
        <v>49</v>
      </c>
      <c r="N1269">
        <v>0</v>
      </c>
      <c r="O1269" s="1">
        <v>45583.323159722226</v>
      </c>
      <c r="P1269" t="s">
        <v>119</v>
      </c>
    </row>
    <row r="1270" spans="1:16" x14ac:dyDescent="0.3">
      <c r="A1270" t="s">
        <v>25</v>
      </c>
      <c r="B1270" s="1">
        <v>45583.323159722226</v>
      </c>
      <c r="C1270" t="str">
        <f>"41"</f>
        <v>41</v>
      </c>
      <c r="D1270" t="s">
        <v>120</v>
      </c>
      <c r="E1270" t="s">
        <v>116</v>
      </c>
      <c r="F1270" t="s">
        <v>117</v>
      </c>
      <c r="H1270" t="s">
        <v>374</v>
      </c>
      <c r="I1270" t="str">
        <f>"101050001977630"</f>
        <v>101050001977630</v>
      </c>
      <c r="J1270" t="str">
        <f>"514568"</f>
        <v>514568</v>
      </c>
      <c r="K1270" t="s">
        <v>87</v>
      </c>
      <c r="L1270">
        <v>49</v>
      </c>
      <c r="M1270">
        <v>49</v>
      </c>
      <c r="N1270">
        <v>0</v>
      </c>
      <c r="O1270" s="1">
        <v>45583.323159722226</v>
      </c>
      <c r="P1270" t="s">
        <v>119</v>
      </c>
    </row>
    <row r="1271" spans="1:16" x14ac:dyDescent="0.3">
      <c r="A1271" t="s">
        <v>25</v>
      </c>
      <c r="B1271" s="1">
        <v>45583.321215277778</v>
      </c>
      <c r="C1271" t="str">
        <f>"38"</f>
        <v>38</v>
      </c>
      <c r="D1271" t="s">
        <v>115</v>
      </c>
      <c r="E1271" t="s">
        <v>116</v>
      </c>
      <c r="F1271" t="s">
        <v>117</v>
      </c>
      <c r="H1271" t="s">
        <v>375</v>
      </c>
      <c r="L1271">
        <v>0</v>
      </c>
      <c r="M1271">
        <v>0</v>
      </c>
      <c r="N1271">
        <v>0</v>
      </c>
      <c r="O1271" s="1">
        <v>45583.321215277778</v>
      </c>
      <c r="P1271" t="s">
        <v>138</v>
      </c>
    </row>
    <row r="1272" spans="1:16" x14ac:dyDescent="0.3">
      <c r="A1272" t="s">
        <v>25</v>
      </c>
      <c r="B1272" s="1">
        <v>45583.321215277778</v>
      </c>
      <c r="C1272" t="str">
        <f t="shared" ref="C1272:C1278" si="257">"41"</f>
        <v>41</v>
      </c>
      <c r="D1272" t="s">
        <v>120</v>
      </c>
      <c r="E1272" t="s">
        <v>116</v>
      </c>
      <c r="F1272" t="s">
        <v>117</v>
      </c>
      <c r="H1272" t="s">
        <v>375</v>
      </c>
      <c r="I1272" t="str">
        <f>"101050002023188"</f>
        <v>101050002023188</v>
      </c>
      <c r="J1272" t="str">
        <f t="shared" ref="J1272:J1278" si="258">"515120"</f>
        <v>515120</v>
      </c>
      <c r="K1272" t="s">
        <v>2</v>
      </c>
      <c r="L1272">
        <v>49</v>
      </c>
      <c r="M1272">
        <v>49</v>
      </c>
      <c r="N1272">
        <v>0</v>
      </c>
      <c r="O1272" s="1">
        <v>45583.321215277778</v>
      </c>
      <c r="P1272" t="s">
        <v>138</v>
      </c>
    </row>
    <row r="1273" spans="1:16" x14ac:dyDescent="0.3">
      <c r="A1273" t="s">
        <v>25</v>
      </c>
      <c r="B1273" s="1">
        <v>45583.321215277778</v>
      </c>
      <c r="C1273" t="str">
        <f t="shared" si="257"/>
        <v>41</v>
      </c>
      <c r="D1273" t="s">
        <v>120</v>
      </c>
      <c r="E1273" t="s">
        <v>116</v>
      </c>
      <c r="F1273" t="s">
        <v>117</v>
      </c>
      <c r="H1273" t="s">
        <v>375</v>
      </c>
      <c r="I1273" t="str">
        <f>"101050002023890"</f>
        <v>101050002023890</v>
      </c>
      <c r="J1273" t="str">
        <f t="shared" si="258"/>
        <v>515120</v>
      </c>
      <c r="K1273" t="s">
        <v>2</v>
      </c>
      <c r="L1273">
        <v>49</v>
      </c>
      <c r="M1273">
        <v>49</v>
      </c>
      <c r="N1273">
        <v>0</v>
      </c>
      <c r="O1273" s="1">
        <v>45583.321215277778</v>
      </c>
      <c r="P1273" t="s">
        <v>138</v>
      </c>
    </row>
    <row r="1274" spans="1:16" x14ac:dyDescent="0.3">
      <c r="A1274" t="s">
        <v>25</v>
      </c>
      <c r="B1274" s="1">
        <v>45583.321215277778</v>
      </c>
      <c r="C1274" t="str">
        <f t="shared" si="257"/>
        <v>41</v>
      </c>
      <c r="D1274" t="s">
        <v>120</v>
      </c>
      <c r="E1274" t="s">
        <v>116</v>
      </c>
      <c r="F1274" t="s">
        <v>117</v>
      </c>
      <c r="H1274" t="s">
        <v>375</v>
      </c>
      <c r="I1274" t="str">
        <f>"101050002023210"</f>
        <v>101050002023210</v>
      </c>
      <c r="J1274" t="str">
        <f t="shared" si="258"/>
        <v>515120</v>
      </c>
      <c r="K1274" t="s">
        <v>2</v>
      </c>
      <c r="L1274">
        <v>49</v>
      </c>
      <c r="M1274">
        <v>49</v>
      </c>
      <c r="N1274">
        <v>0</v>
      </c>
      <c r="O1274" s="1">
        <v>45583.321215277778</v>
      </c>
      <c r="P1274" t="s">
        <v>138</v>
      </c>
    </row>
    <row r="1275" spans="1:16" x14ac:dyDescent="0.3">
      <c r="A1275" t="s">
        <v>25</v>
      </c>
      <c r="B1275" s="1">
        <v>45583.321203703701</v>
      </c>
      <c r="C1275" t="str">
        <f t="shared" si="257"/>
        <v>41</v>
      </c>
      <c r="D1275" t="s">
        <v>120</v>
      </c>
      <c r="E1275" t="s">
        <v>116</v>
      </c>
      <c r="F1275" t="s">
        <v>117</v>
      </c>
      <c r="H1275" t="s">
        <v>375</v>
      </c>
      <c r="I1275" t="str">
        <f>"101050002023189"</f>
        <v>101050002023189</v>
      </c>
      <c r="J1275" t="str">
        <f t="shared" si="258"/>
        <v>515120</v>
      </c>
      <c r="K1275" t="s">
        <v>2</v>
      </c>
      <c r="L1275">
        <v>49</v>
      </c>
      <c r="M1275">
        <v>49</v>
      </c>
      <c r="N1275">
        <v>0</v>
      </c>
      <c r="O1275" s="1">
        <v>45583.321203703701</v>
      </c>
      <c r="P1275" t="s">
        <v>138</v>
      </c>
    </row>
    <row r="1276" spans="1:16" x14ac:dyDescent="0.3">
      <c r="A1276" t="s">
        <v>25</v>
      </c>
      <c r="B1276" s="1">
        <v>45583.321203703701</v>
      </c>
      <c r="C1276" t="str">
        <f t="shared" si="257"/>
        <v>41</v>
      </c>
      <c r="D1276" t="s">
        <v>120</v>
      </c>
      <c r="E1276" t="s">
        <v>116</v>
      </c>
      <c r="F1276" t="s">
        <v>117</v>
      </c>
      <c r="H1276" t="s">
        <v>375</v>
      </c>
      <c r="I1276" t="str">
        <f>"101050002023254"</f>
        <v>101050002023254</v>
      </c>
      <c r="J1276" t="str">
        <f t="shared" si="258"/>
        <v>515120</v>
      </c>
      <c r="K1276" t="s">
        <v>2</v>
      </c>
      <c r="L1276">
        <v>49</v>
      </c>
      <c r="M1276">
        <v>49</v>
      </c>
      <c r="N1276">
        <v>0</v>
      </c>
      <c r="O1276" s="1">
        <v>45583.321203703701</v>
      </c>
      <c r="P1276" t="s">
        <v>138</v>
      </c>
    </row>
    <row r="1277" spans="1:16" x14ac:dyDescent="0.3">
      <c r="A1277" t="s">
        <v>25</v>
      </c>
      <c r="B1277" s="1">
        <v>45583.321203703701</v>
      </c>
      <c r="C1277" t="str">
        <f t="shared" si="257"/>
        <v>41</v>
      </c>
      <c r="D1277" t="s">
        <v>120</v>
      </c>
      <c r="E1277" t="s">
        <v>116</v>
      </c>
      <c r="F1277" t="s">
        <v>117</v>
      </c>
      <c r="H1277" t="s">
        <v>375</v>
      </c>
      <c r="I1277" t="str">
        <f>"101050002023256"</f>
        <v>101050002023256</v>
      </c>
      <c r="J1277" t="str">
        <f t="shared" si="258"/>
        <v>515120</v>
      </c>
      <c r="K1277" t="s">
        <v>2</v>
      </c>
      <c r="L1277">
        <v>49</v>
      </c>
      <c r="M1277">
        <v>49</v>
      </c>
      <c r="N1277">
        <v>0</v>
      </c>
      <c r="O1277" s="1">
        <v>45583.321203703701</v>
      </c>
      <c r="P1277" t="s">
        <v>138</v>
      </c>
    </row>
    <row r="1278" spans="1:16" x14ac:dyDescent="0.3">
      <c r="A1278" t="s">
        <v>25</v>
      </c>
      <c r="B1278" s="1">
        <v>45583.321203703701</v>
      </c>
      <c r="C1278" t="str">
        <f t="shared" si="257"/>
        <v>41</v>
      </c>
      <c r="D1278" t="s">
        <v>120</v>
      </c>
      <c r="E1278" t="s">
        <v>116</v>
      </c>
      <c r="F1278" t="s">
        <v>117</v>
      </c>
      <c r="H1278" t="s">
        <v>375</v>
      </c>
      <c r="I1278" t="str">
        <f>"101050002023186"</f>
        <v>101050002023186</v>
      </c>
      <c r="J1278" t="str">
        <f t="shared" si="258"/>
        <v>515120</v>
      </c>
      <c r="K1278" t="s">
        <v>2</v>
      </c>
      <c r="L1278">
        <v>49</v>
      </c>
      <c r="M1278">
        <v>49</v>
      </c>
      <c r="N1278">
        <v>0</v>
      </c>
      <c r="O1278" s="1">
        <v>45583.321203703701</v>
      </c>
      <c r="P1278" t="s">
        <v>138</v>
      </c>
    </row>
    <row r="1279" spans="1:16" x14ac:dyDescent="0.3">
      <c r="A1279" t="s">
        <v>25</v>
      </c>
      <c r="B1279" s="1">
        <v>45583.320439814815</v>
      </c>
      <c r="C1279" t="str">
        <f>"38"</f>
        <v>38</v>
      </c>
      <c r="D1279" t="s">
        <v>115</v>
      </c>
      <c r="E1279" t="s">
        <v>116</v>
      </c>
      <c r="F1279" t="s">
        <v>117</v>
      </c>
      <c r="H1279" t="s">
        <v>376</v>
      </c>
      <c r="L1279">
        <v>0</v>
      </c>
      <c r="M1279">
        <v>0</v>
      </c>
      <c r="N1279">
        <v>0</v>
      </c>
      <c r="O1279" s="1">
        <v>45583.320439814815</v>
      </c>
      <c r="P1279" t="s">
        <v>138</v>
      </c>
    </row>
    <row r="1280" spans="1:16" x14ac:dyDescent="0.3">
      <c r="A1280" t="s">
        <v>25</v>
      </c>
      <c r="B1280" s="1">
        <v>45583.320439814815</v>
      </c>
      <c r="C1280" t="str">
        <f t="shared" ref="C1280:C1286" si="259">"41"</f>
        <v>41</v>
      </c>
      <c r="D1280" t="s">
        <v>120</v>
      </c>
      <c r="E1280" t="s">
        <v>116</v>
      </c>
      <c r="F1280" t="s">
        <v>117</v>
      </c>
      <c r="H1280" t="s">
        <v>376</v>
      </c>
      <c r="I1280" t="str">
        <f>"101050002023125"</f>
        <v>101050002023125</v>
      </c>
      <c r="J1280" t="str">
        <f t="shared" ref="J1280:J1286" si="260">"515120"</f>
        <v>515120</v>
      </c>
      <c r="K1280" t="s">
        <v>2</v>
      </c>
      <c r="L1280">
        <v>49</v>
      </c>
      <c r="M1280">
        <v>49</v>
      </c>
      <c r="N1280">
        <v>0</v>
      </c>
      <c r="O1280" s="1">
        <v>45583.320439814815</v>
      </c>
      <c r="P1280" t="s">
        <v>138</v>
      </c>
    </row>
    <row r="1281" spans="1:16" x14ac:dyDescent="0.3">
      <c r="A1281" t="s">
        <v>25</v>
      </c>
      <c r="B1281" s="1">
        <v>45583.320428240739</v>
      </c>
      <c r="C1281" t="str">
        <f t="shared" si="259"/>
        <v>41</v>
      </c>
      <c r="D1281" t="s">
        <v>120</v>
      </c>
      <c r="E1281" t="s">
        <v>116</v>
      </c>
      <c r="F1281" t="s">
        <v>117</v>
      </c>
      <c r="H1281" t="s">
        <v>376</v>
      </c>
      <c r="I1281" t="str">
        <f>"101050002023087"</f>
        <v>101050002023087</v>
      </c>
      <c r="J1281" t="str">
        <f t="shared" si="260"/>
        <v>515120</v>
      </c>
      <c r="K1281" t="s">
        <v>2</v>
      </c>
      <c r="L1281">
        <v>49</v>
      </c>
      <c r="M1281">
        <v>49</v>
      </c>
      <c r="N1281">
        <v>0</v>
      </c>
      <c r="O1281" s="1">
        <v>45583.320428240739</v>
      </c>
      <c r="P1281" t="s">
        <v>138</v>
      </c>
    </row>
    <row r="1282" spans="1:16" x14ac:dyDescent="0.3">
      <c r="A1282" t="s">
        <v>25</v>
      </c>
      <c r="B1282" s="1">
        <v>45583.320428240739</v>
      </c>
      <c r="C1282" t="str">
        <f t="shared" si="259"/>
        <v>41</v>
      </c>
      <c r="D1282" t="s">
        <v>120</v>
      </c>
      <c r="E1282" t="s">
        <v>116</v>
      </c>
      <c r="F1282" t="s">
        <v>117</v>
      </c>
      <c r="H1282" t="s">
        <v>376</v>
      </c>
      <c r="I1282" t="str">
        <f>"101050002023123"</f>
        <v>101050002023123</v>
      </c>
      <c r="J1282" t="str">
        <f t="shared" si="260"/>
        <v>515120</v>
      </c>
      <c r="K1282" t="s">
        <v>2</v>
      </c>
      <c r="L1282">
        <v>49</v>
      </c>
      <c r="M1282">
        <v>49</v>
      </c>
      <c r="N1282">
        <v>0</v>
      </c>
      <c r="O1282" s="1">
        <v>45583.320428240739</v>
      </c>
      <c r="P1282" t="s">
        <v>138</v>
      </c>
    </row>
    <row r="1283" spans="1:16" x14ac:dyDescent="0.3">
      <c r="A1283" t="s">
        <v>25</v>
      </c>
      <c r="B1283" s="1">
        <v>45583.320428240739</v>
      </c>
      <c r="C1283" t="str">
        <f t="shared" si="259"/>
        <v>41</v>
      </c>
      <c r="D1283" t="s">
        <v>120</v>
      </c>
      <c r="E1283" t="s">
        <v>116</v>
      </c>
      <c r="F1283" t="s">
        <v>117</v>
      </c>
      <c r="H1283" t="s">
        <v>376</v>
      </c>
      <c r="I1283" t="str">
        <f>"101050002023185"</f>
        <v>101050002023185</v>
      </c>
      <c r="J1283" t="str">
        <f t="shared" si="260"/>
        <v>515120</v>
      </c>
      <c r="K1283" t="s">
        <v>2</v>
      </c>
      <c r="L1283">
        <v>49</v>
      </c>
      <c r="M1283">
        <v>49</v>
      </c>
      <c r="N1283">
        <v>0</v>
      </c>
      <c r="O1283" s="1">
        <v>45583.320428240739</v>
      </c>
      <c r="P1283" t="s">
        <v>138</v>
      </c>
    </row>
    <row r="1284" spans="1:16" x14ac:dyDescent="0.3">
      <c r="A1284" t="s">
        <v>25</v>
      </c>
      <c r="B1284" s="1">
        <v>45583.320428240739</v>
      </c>
      <c r="C1284" t="str">
        <f t="shared" si="259"/>
        <v>41</v>
      </c>
      <c r="D1284" t="s">
        <v>120</v>
      </c>
      <c r="E1284" t="s">
        <v>116</v>
      </c>
      <c r="F1284" t="s">
        <v>117</v>
      </c>
      <c r="H1284" t="s">
        <v>376</v>
      </c>
      <c r="I1284" t="str">
        <f>"101050002023126"</f>
        <v>101050002023126</v>
      </c>
      <c r="J1284" t="str">
        <f t="shared" si="260"/>
        <v>515120</v>
      </c>
      <c r="K1284" t="s">
        <v>2</v>
      </c>
      <c r="L1284">
        <v>49</v>
      </c>
      <c r="M1284">
        <v>49</v>
      </c>
      <c r="N1284">
        <v>0</v>
      </c>
      <c r="O1284" s="1">
        <v>45583.320428240739</v>
      </c>
      <c r="P1284" t="s">
        <v>138</v>
      </c>
    </row>
    <row r="1285" spans="1:16" x14ac:dyDescent="0.3">
      <c r="A1285" t="s">
        <v>25</v>
      </c>
      <c r="B1285" s="1">
        <v>45583.320428240739</v>
      </c>
      <c r="C1285" t="str">
        <f t="shared" si="259"/>
        <v>41</v>
      </c>
      <c r="D1285" t="s">
        <v>120</v>
      </c>
      <c r="E1285" t="s">
        <v>116</v>
      </c>
      <c r="F1285" t="s">
        <v>117</v>
      </c>
      <c r="H1285" t="s">
        <v>376</v>
      </c>
      <c r="I1285" t="str">
        <f>"101050002022868"</f>
        <v>101050002022868</v>
      </c>
      <c r="J1285" t="str">
        <f t="shared" si="260"/>
        <v>515120</v>
      </c>
      <c r="K1285" t="s">
        <v>2</v>
      </c>
      <c r="L1285">
        <v>49</v>
      </c>
      <c r="M1285">
        <v>49</v>
      </c>
      <c r="N1285">
        <v>0</v>
      </c>
      <c r="O1285" s="1">
        <v>45583.320428240739</v>
      </c>
      <c r="P1285" t="s">
        <v>138</v>
      </c>
    </row>
    <row r="1286" spans="1:16" x14ac:dyDescent="0.3">
      <c r="A1286" t="s">
        <v>25</v>
      </c>
      <c r="B1286" s="1">
        <v>45583.320428240739</v>
      </c>
      <c r="C1286" t="str">
        <f t="shared" si="259"/>
        <v>41</v>
      </c>
      <c r="D1286" t="s">
        <v>120</v>
      </c>
      <c r="E1286" t="s">
        <v>116</v>
      </c>
      <c r="F1286" t="s">
        <v>117</v>
      </c>
      <c r="H1286" t="s">
        <v>376</v>
      </c>
      <c r="I1286" t="str">
        <f>"101050002023184"</f>
        <v>101050002023184</v>
      </c>
      <c r="J1286" t="str">
        <f t="shared" si="260"/>
        <v>515120</v>
      </c>
      <c r="K1286" t="s">
        <v>2</v>
      </c>
      <c r="L1286">
        <v>49</v>
      </c>
      <c r="M1286">
        <v>49</v>
      </c>
      <c r="N1286">
        <v>0</v>
      </c>
      <c r="O1286" s="1">
        <v>45583.320428240739</v>
      </c>
      <c r="P1286" t="s">
        <v>138</v>
      </c>
    </row>
    <row r="1287" spans="1:16" x14ac:dyDescent="0.3">
      <c r="A1287" t="s">
        <v>25</v>
      </c>
      <c r="B1287" s="1">
        <v>45583.316979166666</v>
      </c>
      <c r="C1287" t="str">
        <f>"38"</f>
        <v>38</v>
      </c>
      <c r="D1287" t="s">
        <v>115</v>
      </c>
      <c r="E1287" t="s">
        <v>116</v>
      </c>
      <c r="F1287" t="s">
        <v>117</v>
      </c>
      <c r="H1287" t="s">
        <v>377</v>
      </c>
      <c r="L1287">
        <v>0</v>
      </c>
      <c r="M1287">
        <v>0</v>
      </c>
      <c r="N1287">
        <v>0</v>
      </c>
      <c r="O1287" s="1">
        <v>45583.316979166666</v>
      </c>
      <c r="P1287" t="s">
        <v>119</v>
      </c>
    </row>
    <row r="1288" spans="1:16" x14ac:dyDescent="0.3">
      <c r="A1288" t="s">
        <v>25</v>
      </c>
      <c r="B1288" s="1">
        <v>45583.316979166666</v>
      </c>
      <c r="C1288" t="str">
        <f>"41"</f>
        <v>41</v>
      </c>
      <c r="D1288" t="s">
        <v>120</v>
      </c>
      <c r="E1288" t="s">
        <v>116</v>
      </c>
      <c r="F1288" t="s">
        <v>117</v>
      </c>
      <c r="H1288" t="s">
        <v>377</v>
      </c>
      <c r="I1288" t="str">
        <f>"101050002019812"</f>
        <v>101050002019812</v>
      </c>
      <c r="J1288" t="str">
        <f>"514913"</f>
        <v>514913</v>
      </c>
      <c r="K1288" t="s">
        <v>93</v>
      </c>
      <c r="L1288">
        <v>91</v>
      </c>
      <c r="M1288">
        <v>91</v>
      </c>
      <c r="N1288">
        <v>0</v>
      </c>
      <c r="O1288" s="1">
        <v>45583.316979166666</v>
      </c>
      <c r="P1288" t="s">
        <v>119</v>
      </c>
    </row>
    <row r="1289" spans="1:16" x14ac:dyDescent="0.3">
      <c r="A1289" t="s">
        <v>25</v>
      </c>
      <c r="B1289" s="1">
        <v>45583.316979166666</v>
      </c>
      <c r="C1289" t="str">
        <f>"41"</f>
        <v>41</v>
      </c>
      <c r="D1289" t="s">
        <v>120</v>
      </c>
      <c r="E1289" t="s">
        <v>116</v>
      </c>
      <c r="F1289" t="s">
        <v>117</v>
      </c>
      <c r="H1289" t="s">
        <v>377</v>
      </c>
      <c r="I1289" t="str">
        <f>"101050002019144"</f>
        <v>101050002019144</v>
      </c>
      <c r="J1289" t="str">
        <f>"514913"</f>
        <v>514913</v>
      </c>
      <c r="K1289" t="s">
        <v>93</v>
      </c>
      <c r="L1289">
        <v>91</v>
      </c>
      <c r="M1289">
        <v>91</v>
      </c>
      <c r="N1289">
        <v>0</v>
      </c>
      <c r="O1289" s="1">
        <v>45583.316979166666</v>
      </c>
      <c r="P1289" t="s">
        <v>119</v>
      </c>
    </row>
    <row r="1290" spans="1:16" x14ac:dyDescent="0.3">
      <c r="A1290" t="s">
        <v>25</v>
      </c>
      <c r="B1290" s="1">
        <v>45583.316967592589</v>
      </c>
      <c r="C1290" t="str">
        <f>"41"</f>
        <v>41</v>
      </c>
      <c r="D1290" t="s">
        <v>120</v>
      </c>
      <c r="E1290" t="s">
        <v>116</v>
      </c>
      <c r="F1290" t="s">
        <v>117</v>
      </c>
      <c r="H1290" t="s">
        <v>377</v>
      </c>
      <c r="I1290" t="str">
        <f>"101050002019071"</f>
        <v>101050002019071</v>
      </c>
      <c r="J1290" t="str">
        <f>"514913"</f>
        <v>514913</v>
      </c>
      <c r="K1290" t="s">
        <v>93</v>
      </c>
      <c r="L1290">
        <v>91</v>
      </c>
      <c r="M1290">
        <v>91</v>
      </c>
      <c r="N1290">
        <v>0</v>
      </c>
      <c r="O1290" s="1">
        <v>45583.316967592589</v>
      </c>
      <c r="P1290" t="s">
        <v>119</v>
      </c>
    </row>
    <row r="1291" spans="1:16" x14ac:dyDescent="0.3">
      <c r="A1291" t="s">
        <v>25</v>
      </c>
      <c r="B1291" s="1">
        <v>45583.316967592589</v>
      </c>
      <c r="C1291" t="str">
        <f>"41"</f>
        <v>41</v>
      </c>
      <c r="D1291" t="s">
        <v>120</v>
      </c>
      <c r="E1291" t="s">
        <v>116</v>
      </c>
      <c r="F1291" t="s">
        <v>117</v>
      </c>
      <c r="H1291" t="s">
        <v>377</v>
      </c>
      <c r="I1291" t="str">
        <f>"101050002019145"</f>
        <v>101050002019145</v>
      </c>
      <c r="J1291" t="str">
        <f>"514913"</f>
        <v>514913</v>
      </c>
      <c r="K1291" t="s">
        <v>93</v>
      </c>
      <c r="L1291">
        <v>91</v>
      </c>
      <c r="M1291">
        <v>91</v>
      </c>
      <c r="N1291">
        <v>0</v>
      </c>
      <c r="O1291" s="1">
        <v>45583.316967592589</v>
      </c>
      <c r="P1291" t="s">
        <v>119</v>
      </c>
    </row>
    <row r="1292" spans="1:16" x14ac:dyDescent="0.3">
      <c r="A1292" t="s">
        <v>25</v>
      </c>
      <c r="B1292" s="1">
        <v>45583.316967592589</v>
      </c>
      <c r="C1292" t="str">
        <f>"41"</f>
        <v>41</v>
      </c>
      <c r="D1292" t="s">
        <v>120</v>
      </c>
      <c r="E1292" t="s">
        <v>116</v>
      </c>
      <c r="F1292" t="s">
        <v>117</v>
      </c>
      <c r="H1292" t="s">
        <v>377</v>
      </c>
      <c r="I1292" t="str">
        <f>"101050002019368"</f>
        <v>101050002019368</v>
      </c>
      <c r="J1292" t="str">
        <f>"514913"</f>
        <v>514913</v>
      </c>
      <c r="K1292" t="s">
        <v>93</v>
      </c>
      <c r="L1292">
        <v>91</v>
      </c>
      <c r="M1292">
        <v>91</v>
      </c>
      <c r="N1292">
        <v>0</v>
      </c>
      <c r="O1292" s="1">
        <v>45583.316967592589</v>
      </c>
      <c r="P1292" t="s">
        <v>119</v>
      </c>
    </row>
    <row r="1293" spans="1:16" x14ac:dyDescent="0.3">
      <c r="A1293" t="s">
        <v>25</v>
      </c>
      <c r="B1293" s="1">
        <v>45583.314918981479</v>
      </c>
      <c r="C1293" t="str">
        <f>"38"</f>
        <v>38</v>
      </c>
      <c r="D1293" t="s">
        <v>115</v>
      </c>
      <c r="E1293" t="s">
        <v>116</v>
      </c>
      <c r="F1293" t="s">
        <v>117</v>
      </c>
      <c r="H1293" t="s">
        <v>378</v>
      </c>
      <c r="L1293">
        <v>0</v>
      </c>
      <c r="M1293">
        <v>0</v>
      </c>
      <c r="N1293">
        <v>0</v>
      </c>
      <c r="O1293" s="1">
        <v>45583.314918981479</v>
      </c>
      <c r="P1293" t="s">
        <v>119</v>
      </c>
    </row>
    <row r="1294" spans="1:16" x14ac:dyDescent="0.3">
      <c r="A1294" t="s">
        <v>25</v>
      </c>
      <c r="B1294" s="1">
        <v>45583.314918981479</v>
      </c>
      <c r="C1294" t="str">
        <f t="shared" ref="C1294:C1300" si="261">"41"</f>
        <v>41</v>
      </c>
      <c r="D1294" t="s">
        <v>120</v>
      </c>
      <c r="E1294" t="s">
        <v>116</v>
      </c>
      <c r="F1294" t="s">
        <v>117</v>
      </c>
      <c r="H1294" t="s">
        <v>378</v>
      </c>
      <c r="I1294" t="str">
        <f>"101050002023842"</f>
        <v>101050002023842</v>
      </c>
      <c r="J1294" t="str">
        <f t="shared" ref="J1294:J1300" si="262">"515122"</f>
        <v>515122</v>
      </c>
      <c r="K1294" t="s">
        <v>4</v>
      </c>
      <c r="L1294">
        <v>49</v>
      </c>
      <c r="M1294">
        <v>49</v>
      </c>
      <c r="N1294">
        <v>0</v>
      </c>
      <c r="O1294" s="1">
        <v>45583.314918981479</v>
      </c>
      <c r="P1294" t="s">
        <v>119</v>
      </c>
    </row>
    <row r="1295" spans="1:16" x14ac:dyDescent="0.3">
      <c r="A1295" t="s">
        <v>25</v>
      </c>
      <c r="B1295" s="1">
        <v>45583.314918981479</v>
      </c>
      <c r="C1295" t="str">
        <f t="shared" si="261"/>
        <v>41</v>
      </c>
      <c r="D1295" t="s">
        <v>120</v>
      </c>
      <c r="E1295" t="s">
        <v>116</v>
      </c>
      <c r="F1295" t="s">
        <v>117</v>
      </c>
      <c r="H1295" t="s">
        <v>378</v>
      </c>
      <c r="I1295" t="str">
        <f>"101050002023892"</f>
        <v>101050002023892</v>
      </c>
      <c r="J1295" t="str">
        <f t="shared" si="262"/>
        <v>515122</v>
      </c>
      <c r="K1295" t="s">
        <v>4</v>
      </c>
      <c r="L1295">
        <v>49</v>
      </c>
      <c r="M1295">
        <v>49</v>
      </c>
      <c r="N1295">
        <v>0</v>
      </c>
      <c r="O1295" s="1">
        <v>45583.314918981479</v>
      </c>
      <c r="P1295" t="s">
        <v>119</v>
      </c>
    </row>
    <row r="1296" spans="1:16" x14ac:dyDescent="0.3">
      <c r="A1296" t="s">
        <v>25</v>
      </c>
      <c r="B1296" s="1">
        <v>45583.314918981479</v>
      </c>
      <c r="C1296" t="str">
        <f t="shared" si="261"/>
        <v>41</v>
      </c>
      <c r="D1296" t="s">
        <v>120</v>
      </c>
      <c r="E1296" t="s">
        <v>116</v>
      </c>
      <c r="F1296" t="s">
        <v>117</v>
      </c>
      <c r="H1296" t="s">
        <v>378</v>
      </c>
      <c r="I1296" t="str">
        <f>"101050002023884"</f>
        <v>101050002023884</v>
      </c>
      <c r="J1296" t="str">
        <f t="shared" si="262"/>
        <v>515122</v>
      </c>
      <c r="K1296" t="s">
        <v>4</v>
      </c>
      <c r="L1296">
        <v>49</v>
      </c>
      <c r="M1296">
        <v>49</v>
      </c>
      <c r="N1296">
        <v>0</v>
      </c>
      <c r="O1296" s="1">
        <v>45583.314918981479</v>
      </c>
      <c r="P1296" t="s">
        <v>119</v>
      </c>
    </row>
    <row r="1297" spans="1:16" x14ac:dyDescent="0.3">
      <c r="A1297" t="s">
        <v>25</v>
      </c>
      <c r="B1297" s="1">
        <v>45583.314918981479</v>
      </c>
      <c r="C1297" t="str">
        <f t="shared" si="261"/>
        <v>41</v>
      </c>
      <c r="D1297" t="s">
        <v>120</v>
      </c>
      <c r="E1297" t="s">
        <v>116</v>
      </c>
      <c r="F1297" t="s">
        <v>117</v>
      </c>
      <c r="H1297" t="s">
        <v>378</v>
      </c>
      <c r="I1297" t="str">
        <f>"101050002023724"</f>
        <v>101050002023724</v>
      </c>
      <c r="J1297" t="str">
        <f t="shared" si="262"/>
        <v>515122</v>
      </c>
      <c r="K1297" t="s">
        <v>4</v>
      </c>
      <c r="L1297">
        <v>49</v>
      </c>
      <c r="M1297">
        <v>49</v>
      </c>
      <c r="N1297">
        <v>0</v>
      </c>
      <c r="O1297" s="1">
        <v>45583.314918981479</v>
      </c>
      <c r="P1297" t="s">
        <v>119</v>
      </c>
    </row>
    <row r="1298" spans="1:16" x14ac:dyDescent="0.3">
      <c r="A1298" t="s">
        <v>25</v>
      </c>
      <c r="B1298" s="1">
        <v>45583.31490740741</v>
      </c>
      <c r="C1298" t="str">
        <f t="shared" si="261"/>
        <v>41</v>
      </c>
      <c r="D1298" t="s">
        <v>120</v>
      </c>
      <c r="E1298" t="s">
        <v>116</v>
      </c>
      <c r="F1298" t="s">
        <v>117</v>
      </c>
      <c r="H1298" t="s">
        <v>378</v>
      </c>
      <c r="I1298" t="str">
        <f>"101050002023673"</f>
        <v>101050002023673</v>
      </c>
      <c r="J1298" t="str">
        <f t="shared" si="262"/>
        <v>515122</v>
      </c>
      <c r="K1298" t="s">
        <v>4</v>
      </c>
      <c r="L1298">
        <v>49</v>
      </c>
      <c r="M1298">
        <v>49</v>
      </c>
      <c r="N1298">
        <v>0</v>
      </c>
      <c r="O1298" s="1">
        <v>45583.31490740741</v>
      </c>
      <c r="P1298" t="s">
        <v>119</v>
      </c>
    </row>
    <row r="1299" spans="1:16" x14ac:dyDescent="0.3">
      <c r="A1299" t="s">
        <v>25</v>
      </c>
      <c r="B1299" s="1">
        <v>45583.31490740741</v>
      </c>
      <c r="C1299" t="str">
        <f t="shared" si="261"/>
        <v>41</v>
      </c>
      <c r="D1299" t="s">
        <v>120</v>
      </c>
      <c r="E1299" t="s">
        <v>116</v>
      </c>
      <c r="F1299" t="s">
        <v>117</v>
      </c>
      <c r="H1299" t="s">
        <v>378</v>
      </c>
      <c r="I1299" t="str">
        <f>"101050002023670"</f>
        <v>101050002023670</v>
      </c>
      <c r="J1299" t="str">
        <f t="shared" si="262"/>
        <v>515122</v>
      </c>
      <c r="K1299" t="s">
        <v>4</v>
      </c>
      <c r="L1299">
        <v>49</v>
      </c>
      <c r="M1299">
        <v>49</v>
      </c>
      <c r="N1299">
        <v>0</v>
      </c>
      <c r="O1299" s="1">
        <v>45583.31490740741</v>
      </c>
      <c r="P1299" t="s">
        <v>119</v>
      </c>
    </row>
    <row r="1300" spans="1:16" x14ac:dyDescent="0.3">
      <c r="A1300" t="s">
        <v>25</v>
      </c>
      <c r="B1300" s="1">
        <v>45583.31490740741</v>
      </c>
      <c r="C1300" t="str">
        <f t="shared" si="261"/>
        <v>41</v>
      </c>
      <c r="D1300" t="s">
        <v>120</v>
      </c>
      <c r="E1300" t="s">
        <v>116</v>
      </c>
      <c r="F1300" t="s">
        <v>117</v>
      </c>
      <c r="H1300" t="s">
        <v>378</v>
      </c>
      <c r="I1300" t="str">
        <f>"101050002023524"</f>
        <v>101050002023524</v>
      </c>
      <c r="J1300" t="str">
        <f t="shared" si="262"/>
        <v>515122</v>
      </c>
      <c r="K1300" t="s">
        <v>4</v>
      </c>
      <c r="L1300">
        <v>49</v>
      </c>
      <c r="M1300">
        <v>49</v>
      </c>
      <c r="N1300">
        <v>0</v>
      </c>
      <c r="O1300" s="1">
        <v>45583.31490740741</v>
      </c>
      <c r="P1300" t="s">
        <v>119</v>
      </c>
    </row>
    <row r="1301" spans="1:16" x14ac:dyDescent="0.3">
      <c r="A1301" t="s">
        <v>25</v>
      </c>
      <c r="B1301" s="1">
        <v>45583.32849537037</v>
      </c>
      <c r="C1301" t="str">
        <f>"38"</f>
        <v>38</v>
      </c>
      <c r="D1301" t="s">
        <v>115</v>
      </c>
      <c r="E1301" t="s">
        <v>116</v>
      </c>
      <c r="F1301" t="s">
        <v>117</v>
      </c>
      <c r="H1301" t="s">
        <v>379</v>
      </c>
      <c r="L1301">
        <v>0</v>
      </c>
      <c r="M1301">
        <v>0</v>
      </c>
      <c r="N1301">
        <v>0</v>
      </c>
      <c r="O1301" s="1">
        <v>45583.32849537037</v>
      </c>
      <c r="P1301" t="s">
        <v>132</v>
      </c>
    </row>
    <row r="1302" spans="1:16" x14ac:dyDescent="0.3">
      <c r="A1302" t="s">
        <v>25</v>
      </c>
      <c r="B1302" s="1">
        <v>45583.32849537037</v>
      </c>
      <c r="C1302" t="str">
        <f t="shared" ref="C1302:C1308" si="263">"41"</f>
        <v>41</v>
      </c>
      <c r="D1302" t="s">
        <v>120</v>
      </c>
      <c r="E1302" t="s">
        <v>116</v>
      </c>
      <c r="F1302" t="s">
        <v>117</v>
      </c>
      <c r="H1302" t="s">
        <v>379</v>
      </c>
      <c r="I1302" t="str">
        <f>"101050002025962"</f>
        <v>101050002025962</v>
      </c>
      <c r="J1302" t="str">
        <f t="shared" ref="J1302:J1308" si="264">"515123"</f>
        <v>515123</v>
      </c>
      <c r="K1302" t="s">
        <v>19</v>
      </c>
      <c r="L1302">
        <v>49</v>
      </c>
      <c r="M1302">
        <v>49</v>
      </c>
      <c r="N1302">
        <v>0</v>
      </c>
      <c r="O1302" s="1">
        <v>45583.32849537037</v>
      </c>
      <c r="P1302" t="s">
        <v>132</v>
      </c>
    </row>
    <row r="1303" spans="1:16" x14ac:dyDescent="0.3">
      <c r="A1303" t="s">
        <v>25</v>
      </c>
      <c r="B1303" s="1">
        <v>45583.328483796293</v>
      </c>
      <c r="C1303" t="str">
        <f t="shared" si="263"/>
        <v>41</v>
      </c>
      <c r="D1303" t="s">
        <v>120</v>
      </c>
      <c r="E1303" t="s">
        <v>116</v>
      </c>
      <c r="F1303" t="s">
        <v>117</v>
      </c>
      <c r="H1303" t="s">
        <v>379</v>
      </c>
      <c r="I1303" t="str">
        <f>"101050002026090"</f>
        <v>101050002026090</v>
      </c>
      <c r="J1303" t="str">
        <f t="shared" si="264"/>
        <v>515123</v>
      </c>
      <c r="K1303" t="s">
        <v>19</v>
      </c>
      <c r="L1303">
        <v>49</v>
      </c>
      <c r="M1303">
        <v>49</v>
      </c>
      <c r="N1303">
        <v>0</v>
      </c>
      <c r="O1303" s="1">
        <v>45583.328483796293</v>
      </c>
      <c r="P1303" t="s">
        <v>132</v>
      </c>
    </row>
    <row r="1304" spans="1:16" x14ac:dyDescent="0.3">
      <c r="A1304" t="s">
        <v>25</v>
      </c>
      <c r="B1304" s="1">
        <v>45583.328483796293</v>
      </c>
      <c r="C1304" t="str">
        <f t="shared" si="263"/>
        <v>41</v>
      </c>
      <c r="D1304" t="s">
        <v>120</v>
      </c>
      <c r="E1304" t="s">
        <v>116</v>
      </c>
      <c r="F1304" t="s">
        <v>117</v>
      </c>
      <c r="H1304" t="s">
        <v>379</v>
      </c>
      <c r="I1304" t="str">
        <f>"101050002017458"</f>
        <v>101050002017458</v>
      </c>
      <c r="J1304" t="str">
        <f t="shared" si="264"/>
        <v>515123</v>
      </c>
      <c r="K1304" t="s">
        <v>19</v>
      </c>
      <c r="L1304">
        <v>49</v>
      </c>
      <c r="M1304">
        <v>49</v>
      </c>
      <c r="N1304">
        <v>0</v>
      </c>
      <c r="O1304" s="1">
        <v>45583.328483796293</v>
      </c>
      <c r="P1304" t="s">
        <v>132</v>
      </c>
    </row>
    <row r="1305" spans="1:16" x14ac:dyDescent="0.3">
      <c r="A1305" t="s">
        <v>25</v>
      </c>
      <c r="B1305" s="1">
        <v>45583.328483796293</v>
      </c>
      <c r="C1305" t="str">
        <f t="shared" si="263"/>
        <v>41</v>
      </c>
      <c r="D1305" t="s">
        <v>120</v>
      </c>
      <c r="E1305" t="s">
        <v>116</v>
      </c>
      <c r="F1305" t="s">
        <v>117</v>
      </c>
      <c r="H1305" t="s">
        <v>379</v>
      </c>
      <c r="I1305" t="str">
        <f>"101050002017920"</f>
        <v>101050002017920</v>
      </c>
      <c r="J1305" t="str">
        <f t="shared" si="264"/>
        <v>515123</v>
      </c>
      <c r="K1305" t="s">
        <v>19</v>
      </c>
      <c r="L1305">
        <v>49</v>
      </c>
      <c r="M1305">
        <v>49</v>
      </c>
      <c r="N1305">
        <v>0</v>
      </c>
      <c r="O1305" s="1">
        <v>45583.328483796293</v>
      </c>
      <c r="P1305" t="s">
        <v>132</v>
      </c>
    </row>
    <row r="1306" spans="1:16" x14ac:dyDescent="0.3">
      <c r="A1306" t="s">
        <v>25</v>
      </c>
      <c r="B1306" s="1">
        <v>45583.328483796293</v>
      </c>
      <c r="C1306" t="str">
        <f t="shared" si="263"/>
        <v>41</v>
      </c>
      <c r="D1306" t="s">
        <v>120</v>
      </c>
      <c r="E1306" t="s">
        <v>116</v>
      </c>
      <c r="F1306" t="s">
        <v>117</v>
      </c>
      <c r="H1306" t="s">
        <v>379</v>
      </c>
      <c r="I1306" t="str">
        <f>"101050002017372"</f>
        <v>101050002017372</v>
      </c>
      <c r="J1306" t="str">
        <f t="shared" si="264"/>
        <v>515123</v>
      </c>
      <c r="K1306" t="s">
        <v>19</v>
      </c>
      <c r="L1306">
        <v>49</v>
      </c>
      <c r="M1306">
        <v>49</v>
      </c>
      <c r="N1306">
        <v>0</v>
      </c>
      <c r="O1306" s="1">
        <v>45583.328483796293</v>
      </c>
      <c r="P1306" t="s">
        <v>132</v>
      </c>
    </row>
    <row r="1307" spans="1:16" x14ac:dyDescent="0.3">
      <c r="A1307" t="s">
        <v>25</v>
      </c>
      <c r="B1307" s="1">
        <v>45583.328483796293</v>
      </c>
      <c r="C1307" t="str">
        <f t="shared" si="263"/>
        <v>41</v>
      </c>
      <c r="D1307" t="s">
        <v>120</v>
      </c>
      <c r="E1307" t="s">
        <v>116</v>
      </c>
      <c r="F1307" t="s">
        <v>117</v>
      </c>
      <c r="H1307" t="s">
        <v>379</v>
      </c>
      <c r="I1307" t="str">
        <f>"101050002016995"</f>
        <v>101050002016995</v>
      </c>
      <c r="J1307" t="str">
        <f t="shared" si="264"/>
        <v>515123</v>
      </c>
      <c r="K1307" t="s">
        <v>19</v>
      </c>
      <c r="L1307">
        <v>49</v>
      </c>
      <c r="M1307">
        <v>49</v>
      </c>
      <c r="N1307">
        <v>0</v>
      </c>
      <c r="O1307" s="1">
        <v>45583.328483796293</v>
      </c>
      <c r="P1307" t="s">
        <v>132</v>
      </c>
    </row>
    <row r="1308" spans="1:16" x14ac:dyDescent="0.3">
      <c r="A1308" t="s">
        <v>25</v>
      </c>
      <c r="B1308" s="1">
        <v>45583.328483796293</v>
      </c>
      <c r="C1308" t="str">
        <f t="shared" si="263"/>
        <v>41</v>
      </c>
      <c r="D1308" t="s">
        <v>120</v>
      </c>
      <c r="E1308" t="s">
        <v>116</v>
      </c>
      <c r="F1308" t="s">
        <v>117</v>
      </c>
      <c r="H1308" t="s">
        <v>379</v>
      </c>
      <c r="I1308" t="str">
        <f>"101050002017462"</f>
        <v>101050002017462</v>
      </c>
      <c r="J1308" t="str">
        <f t="shared" si="264"/>
        <v>515123</v>
      </c>
      <c r="K1308" t="s">
        <v>19</v>
      </c>
      <c r="L1308">
        <v>49</v>
      </c>
      <c r="M1308">
        <v>49</v>
      </c>
      <c r="N1308">
        <v>0</v>
      </c>
      <c r="O1308" s="1">
        <v>45583.328483796293</v>
      </c>
      <c r="P1308" t="s">
        <v>132</v>
      </c>
    </row>
    <row r="1309" spans="1:16" x14ac:dyDescent="0.3">
      <c r="A1309" t="s">
        <v>25</v>
      </c>
      <c r="B1309" s="1">
        <v>45583.312615740739</v>
      </c>
      <c r="C1309" t="str">
        <f>"38"</f>
        <v>38</v>
      </c>
      <c r="D1309" t="s">
        <v>115</v>
      </c>
      <c r="E1309" t="s">
        <v>116</v>
      </c>
      <c r="F1309" t="s">
        <v>117</v>
      </c>
      <c r="H1309" t="s">
        <v>380</v>
      </c>
      <c r="L1309">
        <v>0</v>
      </c>
      <c r="M1309">
        <v>0</v>
      </c>
      <c r="N1309">
        <v>0</v>
      </c>
      <c r="O1309" s="1">
        <v>45583.312615740739</v>
      </c>
      <c r="P1309" t="s">
        <v>125</v>
      </c>
    </row>
    <row r="1310" spans="1:16" x14ac:dyDescent="0.3">
      <c r="A1310" t="s">
        <v>25</v>
      </c>
      <c r="B1310" s="1">
        <v>45583.312615740739</v>
      </c>
      <c r="C1310" t="str">
        <f t="shared" ref="C1310:C1315" si="265">"41"</f>
        <v>41</v>
      </c>
      <c r="D1310" t="s">
        <v>120</v>
      </c>
      <c r="E1310" t="s">
        <v>116</v>
      </c>
      <c r="F1310" t="s">
        <v>117</v>
      </c>
      <c r="H1310" t="s">
        <v>380</v>
      </c>
      <c r="I1310" t="str">
        <f>"101050002018527"</f>
        <v>101050002018527</v>
      </c>
      <c r="J1310" t="str">
        <f t="shared" ref="J1310:J1315" si="266">"514913"</f>
        <v>514913</v>
      </c>
      <c r="K1310" t="s">
        <v>93</v>
      </c>
      <c r="L1310">
        <v>91</v>
      </c>
      <c r="M1310">
        <v>91</v>
      </c>
      <c r="N1310">
        <v>0</v>
      </c>
      <c r="O1310" s="1">
        <v>45583.312615740739</v>
      </c>
      <c r="P1310" t="s">
        <v>125</v>
      </c>
    </row>
    <row r="1311" spans="1:16" x14ac:dyDescent="0.3">
      <c r="A1311" t="s">
        <v>25</v>
      </c>
      <c r="B1311" s="1">
        <v>45583.312615740739</v>
      </c>
      <c r="C1311" t="str">
        <f t="shared" si="265"/>
        <v>41</v>
      </c>
      <c r="D1311" t="s">
        <v>120</v>
      </c>
      <c r="E1311" t="s">
        <v>116</v>
      </c>
      <c r="F1311" t="s">
        <v>117</v>
      </c>
      <c r="H1311" t="s">
        <v>380</v>
      </c>
      <c r="I1311" t="str">
        <f>"101050002018471"</f>
        <v>101050002018471</v>
      </c>
      <c r="J1311" t="str">
        <f t="shared" si="266"/>
        <v>514913</v>
      </c>
      <c r="K1311" t="s">
        <v>93</v>
      </c>
      <c r="L1311">
        <v>91</v>
      </c>
      <c r="M1311">
        <v>91</v>
      </c>
      <c r="N1311">
        <v>0</v>
      </c>
      <c r="O1311" s="1">
        <v>45583.312615740739</v>
      </c>
      <c r="P1311" t="s">
        <v>125</v>
      </c>
    </row>
    <row r="1312" spans="1:16" x14ac:dyDescent="0.3">
      <c r="A1312" t="s">
        <v>25</v>
      </c>
      <c r="B1312" s="1">
        <v>45583.312604166669</v>
      </c>
      <c r="C1312" t="str">
        <f t="shared" si="265"/>
        <v>41</v>
      </c>
      <c r="D1312" t="s">
        <v>120</v>
      </c>
      <c r="E1312" t="s">
        <v>116</v>
      </c>
      <c r="F1312" t="s">
        <v>117</v>
      </c>
      <c r="H1312" t="s">
        <v>380</v>
      </c>
      <c r="I1312" t="str">
        <f>"101050002018470"</f>
        <v>101050002018470</v>
      </c>
      <c r="J1312" t="str">
        <f t="shared" si="266"/>
        <v>514913</v>
      </c>
      <c r="K1312" t="s">
        <v>93</v>
      </c>
      <c r="L1312">
        <v>91</v>
      </c>
      <c r="M1312">
        <v>91</v>
      </c>
      <c r="N1312">
        <v>0</v>
      </c>
      <c r="O1312" s="1">
        <v>45583.312604166669</v>
      </c>
      <c r="P1312" t="s">
        <v>125</v>
      </c>
    </row>
    <row r="1313" spans="1:16" x14ac:dyDescent="0.3">
      <c r="A1313" t="s">
        <v>25</v>
      </c>
      <c r="B1313" s="1">
        <v>45583.312604166669</v>
      </c>
      <c r="C1313" t="str">
        <f t="shared" si="265"/>
        <v>41</v>
      </c>
      <c r="D1313" t="s">
        <v>120</v>
      </c>
      <c r="E1313" t="s">
        <v>116</v>
      </c>
      <c r="F1313" t="s">
        <v>117</v>
      </c>
      <c r="H1313" t="s">
        <v>380</v>
      </c>
      <c r="I1313" t="str">
        <f>"101050002018941"</f>
        <v>101050002018941</v>
      </c>
      <c r="J1313" t="str">
        <f t="shared" si="266"/>
        <v>514913</v>
      </c>
      <c r="K1313" t="s">
        <v>93</v>
      </c>
      <c r="L1313">
        <v>91</v>
      </c>
      <c r="M1313">
        <v>91</v>
      </c>
      <c r="N1313">
        <v>0</v>
      </c>
      <c r="O1313" s="1">
        <v>45583.312604166669</v>
      </c>
      <c r="P1313" t="s">
        <v>125</v>
      </c>
    </row>
    <row r="1314" spans="1:16" x14ac:dyDescent="0.3">
      <c r="A1314" t="s">
        <v>25</v>
      </c>
      <c r="B1314" s="1">
        <v>45583.312604166669</v>
      </c>
      <c r="C1314" t="str">
        <f t="shared" si="265"/>
        <v>41</v>
      </c>
      <c r="D1314" t="s">
        <v>120</v>
      </c>
      <c r="E1314" t="s">
        <v>116</v>
      </c>
      <c r="F1314" t="s">
        <v>117</v>
      </c>
      <c r="H1314" t="s">
        <v>380</v>
      </c>
      <c r="I1314" t="str">
        <f>"101050002017785"</f>
        <v>101050002017785</v>
      </c>
      <c r="J1314" t="str">
        <f t="shared" si="266"/>
        <v>514913</v>
      </c>
      <c r="K1314" t="s">
        <v>93</v>
      </c>
      <c r="L1314">
        <v>91</v>
      </c>
      <c r="M1314">
        <v>91</v>
      </c>
      <c r="N1314">
        <v>0</v>
      </c>
      <c r="O1314" s="1">
        <v>45583.312604166669</v>
      </c>
      <c r="P1314" t="s">
        <v>125</v>
      </c>
    </row>
    <row r="1315" spans="1:16" x14ac:dyDescent="0.3">
      <c r="A1315" t="s">
        <v>25</v>
      </c>
      <c r="B1315" s="1">
        <v>45583.312604166669</v>
      </c>
      <c r="C1315" t="str">
        <f t="shared" si="265"/>
        <v>41</v>
      </c>
      <c r="D1315" t="s">
        <v>120</v>
      </c>
      <c r="E1315" t="s">
        <v>116</v>
      </c>
      <c r="F1315" t="s">
        <v>117</v>
      </c>
      <c r="H1315" t="s">
        <v>380</v>
      </c>
      <c r="I1315" t="str">
        <f>"101050002018164"</f>
        <v>101050002018164</v>
      </c>
      <c r="J1315" t="str">
        <f t="shared" si="266"/>
        <v>514913</v>
      </c>
      <c r="K1315" t="s">
        <v>93</v>
      </c>
      <c r="L1315">
        <v>91</v>
      </c>
      <c r="M1315">
        <v>91</v>
      </c>
      <c r="N1315">
        <v>0</v>
      </c>
      <c r="O1315" s="1">
        <v>45583.312604166669</v>
      </c>
      <c r="P1315" t="s">
        <v>125</v>
      </c>
    </row>
    <row r="1316" spans="1:16" x14ac:dyDescent="0.3">
      <c r="A1316" t="s">
        <v>25</v>
      </c>
      <c r="B1316" s="1">
        <v>45583.311793981484</v>
      </c>
      <c r="C1316" t="str">
        <f>"38"</f>
        <v>38</v>
      </c>
      <c r="D1316" t="s">
        <v>115</v>
      </c>
      <c r="E1316" t="s">
        <v>116</v>
      </c>
      <c r="F1316" t="s">
        <v>117</v>
      </c>
      <c r="H1316" t="s">
        <v>381</v>
      </c>
      <c r="L1316">
        <v>0</v>
      </c>
      <c r="M1316">
        <v>0</v>
      </c>
      <c r="N1316">
        <v>0</v>
      </c>
      <c r="O1316" s="1">
        <v>45583.311793981484</v>
      </c>
      <c r="P1316" t="s">
        <v>125</v>
      </c>
    </row>
    <row r="1317" spans="1:16" x14ac:dyDescent="0.3">
      <c r="A1317" t="s">
        <v>25</v>
      </c>
      <c r="B1317" s="1">
        <v>45583.311793981484</v>
      </c>
      <c r="C1317" t="str">
        <f>"41"</f>
        <v>41</v>
      </c>
      <c r="D1317" t="s">
        <v>120</v>
      </c>
      <c r="E1317" t="s">
        <v>116</v>
      </c>
      <c r="F1317" t="s">
        <v>117</v>
      </c>
      <c r="H1317" t="s">
        <v>381</v>
      </c>
      <c r="I1317" t="str">
        <f>"101050001938040"</f>
        <v>101050001938040</v>
      </c>
      <c r="J1317" t="str">
        <f>"125191"</f>
        <v>125191</v>
      </c>
      <c r="K1317" t="s">
        <v>41</v>
      </c>
      <c r="L1317">
        <v>49</v>
      </c>
      <c r="M1317">
        <v>49</v>
      </c>
      <c r="N1317">
        <v>0</v>
      </c>
      <c r="O1317" s="1">
        <v>45583.311793981484</v>
      </c>
      <c r="P1317" t="s">
        <v>125</v>
      </c>
    </row>
    <row r="1318" spans="1:16" x14ac:dyDescent="0.3">
      <c r="A1318" t="s">
        <v>25</v>
      </c>
      <c r="B1318" s="1">
        <v>45583.311145833337</v>
      </c>
      <c r="C1318" t="str">
        <f>"38"</f>
        <v>38</v>
      </c>
      <c r="D1318" t="s">
        <v>115</v>
      </c>
      <c r="E1318" t="s">
        <v>116</v>
      </c>
      <c r="F1318" t="s">
        <v>117</v>
      </c>
      <c r="H1318" t="s">
        <v>382</v>
      </c>
      <c r="L1318">
        <v>0</v>
      </c>
      <c r="M1318">
        <v>0</v>
      </c>
      <c r="N1318">
        <v>0</v>
      </c>
      <c r="O1318" s="1">
        <v>45583.311145833337</v>
      </c>
      <c r="P1318" t="s">
        <v>122</v>
      </c>
    </row>
    <row r="1319" spans="1:16" x14ac:dyDescent="0.3">
      <c r="A1319" t="s">
        <v>25</v>
      </c>
      <c r="B1319" s="1">
        <v>45583.311145833337</v>
      </c>
      <c r="C1319" t="str">
        <f t="shared" ref="C1319:C1325" si="267">"41"</f>
        <v>41</v>
      </c>
      <c r="D1319" t="s">
        <v>120</v>
      </c>
      <c r="E1319" t="s">
        <v>116</v>
      </c>
      <c r="F1319" t="s">
        <v>117</v>
      </c>
      <c r="H1319" t="s">
        <v>382</v>
      </c>
      <c r="I1319" t="str">
        <f>"101050002024563"</f>
        <v>101050002024563</v>
      </c>
      <c r="J1319" t="str">
        <f t="shared" ref="J1319:J1325" si="268">"515120"</f>
        <v>515120</v>
      </c>
      <c r="K1319" t="s">
        <v>2</v>
      </c>
      <c r="L1319">
        <v>49</v>
      </c>
      <c r="M1319">
        <v>49</v>
      </c>
      <c r="N1319">
        <v>0</v>
      </c>
      <c r="O1319" s="1">
        <v>45583.311145833337</v>
      </c>
      <c r="P1319" t="s">
        <v>122</v>
      </c>
    </row>
    <row r="1320" spans="1:16" x14ac:dyDescent="0.3">
      <c r="A1320" t="s">
        <v>25</v>
      </c>
      <c r="B1320" s="1">
        <v>45583.311145833337</v>
      </c>
      <c r="C1320" t="str">
        <f t="shared" si="267"/>
        <v>41</v>
      </c>
      <c r="D1320" t="s">
        <v>120</v>
      </c>
      <c r="E1320" t="s">
        <v>116</v>
      </c>
      <c r="F1320" t="s">
        <v>117</v>
      </c>
      <c r="H1320" t="s">
        <v>382</v>
      </c>
      <c r="I1320" t="str">
        <f>"101050002024567"</f>
        <v>101050002024567</v>
      </c>
      <c r="J1320" t="str">
        <f t="shared" si="268"/>
        <v>515120</v>
      </c>
      <c r="K1320" t="s">
        <v>2</v>
      </c>
      <c r="L1320">
        <v>49</v>
      </c>
      <c r="M1320">
        <v>49</v>
      </c>
      <c r="N1320">
        <v>0</v>
      </c>
      <c r="O1320" s="1">
        <v>45583.311145833337</v>
      </c>
      <c r="P1320" t="s">
        <v>122</v>
      </c>
    </row>
    <row r="1321" spans="1:16" x14ac:dyDescent="0.3">
      <c r="A1321" t="s">
        <v>25</v>
      </c>
      <c r="B1321" s="1">
        <v>45583.311145833337</v>
      </c>
      <c r="C1321" t="str">
        <f t="shared" si="267"/>
        <v>41</v>
      </c>
      <c r="D1321" t="s">
        <v>120</v>
      </c>
      <c r="E1321" t="s">
        <v>116</v>
      </c>
      <c r="F1321" t="s">
        <v>117</v>
      </c>
      <c r="H1321" t="s">
        <v>382</v>
      </c>
      <c r="I1321" t="str">
        <f>"101050002024566"</f>
        <v>101050002024566</v>
      </c>
      <c r="J1321" t="str">
        <f t="shared" si="268"/>
        <v>515120</v>
      </c>
      <c r="K1321" t="s">
        <v>2</v>
      </c>
      <c r="L1321">
        <v>49</v>
      </c>
      <c r="M1321">
        <v>49</v>
      </c>
      <c r="N1321">
        <v>0</v>
      </c>
      <c r="O1321" s="1">
        <v>45583.311145833337</v>
      </c>
      <c r="P1321" t="s">
        <v>122</v>
      </c>
    </row>
    <row r="1322" spans="1:16" x14ac:dyDescent="0.3">
      <c r="A1322" t="s">
        <v>25</v>
      </c>
      <c r="B1322" s="1">
        <v>45583.311145833337</v>
      </c>
      <c r="C1322" t="str">
        <f t="shared" si="267"/>
        <v>41</v>
      </c>
      <c r="D1322" t="s">
        <v>120</v>
      </c>
      <c r="E1322" t="s">
        <v>116</v>
      </c>
      <c r="F1322" t="s">
        <v>117</v>
      </c>
      <c r="H1322" t="s">
        <v>382</v>
      </c>
      <c r="I1322" t="str">
        <f>"101050002024350"</f>
        <v>101050002024350</v>
      </c>
      <c r="J1322" t="str">
        <f t="shared" si="268"/>
        <v>515120</v>
      </c>
      <c r="K1322" t="s">
        <v>2</v>
      </c>
      <c r="L1322">
        <v>49</v>
      </c>
      <c r="M1322">
        <v>49</v>
      </c>
      <c r="N1322">
        <v>0</v>
      </c>
      <c r="O1322" s="1">
        <v>45583.311145833337</v>
      </c>
      <c r="P1322" t="s">
        <v>122</v>
      </c>
    </row>
    <row r="1323" spans="1:16" x14ac:dyDescent="0.3">
      <c r="A1323" t="s">
        <v>25</v>
      </c>
      <c r="B1323" s="1">
        <v>45583.311145833337</v>
      </c>
      <c r="C1323" t="str">
        <f t="shared" si="267"/>
        <v>41</v>
      </c>
      <c r="D1323" t="s">
        <v>120</v>
      </c>
      <c r="E1323" t="s">
        <v>116</v>
      </c>
      <c r="F1323" t="s">
        <v>117</v>
      </c>
      <c r="H1323" t="s">
        <v>382</v>
      </c>
      <c r="I1323" t="str">
        <f>"101050002024519"</f>
        <v>101050002024519</v>
      </c>
      <c r="J1323" t="str">
        <f t="shared" si="268"/>
        <v>515120</v>
      </c>
      <c r="K1323" t="s">
        <v>2</v>
      </c>
      <c r="L1323">
        <v>49</v>
      </c>
      <c r="M1323">
        <v>49</v>
      </c>
      <c r="N1323">
        <v>0</v>
      </c>
      <c r="O1323" s="1">
        <v>45583.311145833337</v>
      </c>
      <c r="P1323" t="s">
        <v>122</v>
      </c>
    </row>
    <row r="1324" spans="1:16" x14ac:dyDescent="0.3">
      <c r="A1324" t="s">
        <v>25</v>
      </c>
      <c r="B1324" s="1">
        <v>45583.31113425926</v>
      </c>
      <c r="C1324" t="str">
        <f t="shared" si="267"/>
        <v>41</v>
      </c>
      <c r="D1324" t="s">
        <v>120</v>
      </c>
      <c r="E1324" t="s">
        <v>116</v>
      </c>
      <c r="F1324" t="s">
        <v>117</v>
      </c>
      <c r="H1324" t="s">
        <v>382</v>
      </c>
      <c r="I1324" t="str">
        <f>"101050002024445"</f>
        <v>101050002024445</v>
      </c>
      <c r="J1324" t="str">
        <f t="shared" si="268"/>
        <v>515120</v>
      </c>
      <c r="K1324" t="s">
        <v>2</v>
      </c>
      <c r="L1324">
        <v>49</v>
      </c>
      <c r="M1324">
        <v>49</v>
      </c>
      <c r="N1324">
        <v>0</v>
      </c>
      <c r="O1324" s="1">
        <v>45583.31113425926</v>
      </c>
      <c r="P1324" t="s">
        <v>122</v>
      </c>
    </row>
    <row r="1325" spans="1:16" x14ac:dyDescent="0.3">
      <c r="A1325" t="s">
        <v>25</v>
      </c>
      <c r="B1325" s="1">
        <v>45583.31113425926</v>
      </c>
      <c r="C1325" t="str">
        <f t="shared" si="267"/>
        <v>41</v>
      </c>
      <c r="D1325" t="s">
        <v>120</v>
      </c>
      <c r="E1325" t="s">
        <v>116</v>
      </c>
      <c r="F1325" t="s">
        <v>117</v>
      </c>
      <c r="H1325" t="s">
        <v>382</v>
      </c>
      <c r="I1325" t="str">
        <f>"101050002024228"</f>
        <v>101050002024228</v>
      </c>
      <c r="J1325" t="str">
        <f t="shared" si="268"/>
        <v>515120</v>
      </c>
      <c r="K1325" t="s">
        <v>2</v>
      </c>
      <c r="L1325">
        <v>49</v>
      </c>
      <c r="M1325">
        <v>49</v>
      </c>
      <c r="N1325">
        <v>0</v>
      </c>
      <c r="O1325" s="1">
        <v>45583.31113425926</v>
      </c>
      <c r="P1325" t="s">
        <v>122</v>
      </c>
    </row>
    <row r="1326" spans="1:16" x14ac:dyDescent="0.3">
      <c r="A1326" t="s">
        <v>25</v>
      </c>
      <c r="B1326" s="1">
        <v>45583.310370370367</v>
      </c>
      <c r="C1326" t="str">
        <f>"38"</f>
        <v>38</v>
      </c>
      <c r="D1326" t="s">
        <v>115</v>
      </c>
      <c r="E1326" t="s">
        <v>116</v>
      </c>
      <c r="F1326" t="s">
        <v>117</v>
      </c>
      <c r="H1326" t="s">
        <v>383</v>
      </c>
      <c r="L1326">
        <v>0</v>
      </c>
      <c r="M1326">
        <v>0</v>
      </c>
      <c r="N1326">
        <v>0</v>
      </c>
      <c r="O1326" s="1">
        <v>45583.310370370367</v>
      </c>
      <c r="P1326" t="s">
        <v>353</v>
      </c>
    </row>
    <row r="1327" spans="1:16" x14ac:dyDescent="0.3">
      <c r="A1327" t="s">
        <v>25</v>
      </c>
      <c r="B1327" s="1">
        <v>45583.309537037036</v>
      </c>
      <c r="C1327" t="str">
        <f>"38"</f>
        <v>38</v>
      </c>
      <c r="D1327" t="s">
        <v>115</v>
      </c>
      <c r="E1327" t="s">
        <v>116</v>
      </c>
      <c r="F1327" t="s">
        <v>117</v>
      </c>
      <c r="H1327" t="s">
        <v>384</v>
      </c>
      <c r="L1327">
        <v>0</v>
      </c>
      <c r="M1327">
        <v>0</v>
      </c>
      <c r="N1327">
        <v>0</v>
      </c>
      <c r="O1327" s="1">
        <v>45583.309537037036</v>
      </c>
      <c r="P1327" t="s">
        <v>353</v>
      </c>
    </row>
    <row r="1328" spans="1:16" x14ac:dyDescent="0.3">
      <c r="A1328" t="s">
        <v>25</v>
      </c>
      <c r="B1328" s="1">
        <v>45583.309432870374</v>
      </c>
      <c r="C1328" t="str">
        <f>"38"</f>
        <v>38</v>
      </c>
      <c r="D1328" t="s">
        <v>115</v>
      </c>
      <c r="E1328" t="s">
        <v>116</v>
      </c>
      <c r="F1328" t="s">
        <v>117</v>
      </c>
      <c r="H1328" t="s">
        <v>385</v>
      </c>
      <c r="L1328">
        <v>0</v>
      </c>
      <c r="M1328">
        <v>0</v>
      </c>
      <c r="N1328">
        <v>0</v>
      </c>
      <c r="O1328" s="1">
        <v>45583.309432870374</v>
      </c>
      <c r="P1328" t="s">
        <v>353</v>
      </c>
    </row>
    <row r="1329" spans="1:16" x14ac:dyDescent="0.3">
      <c r="A1329" t="s">
        <v>25</v>
      </c>
      <c r="B1329" s="1">
        <v>45583.307326388887</v>
      </c>
      <c r="C1329" t="str">
        <f>"38"</f>
        <v>38</v>
      </c>
      <c r="D1329" t="s">
        <v>115</v>
      </c>
      <c r="E1329" t="s">
        <v>116</v>
      </c>
      <c r="F1329" t="s">
        <v>117</v>
      </c>
      <c r="H1329" t="s">
        <v>386</v>
      </c>
      <c r="L1329">
        <v>0</v>
      </c>
      <c r="M1329">
        <v>0</v>
      </c>
      <c r="N1329">
        <v>0</v>
      </c>
      <c r="O1329" s="1">
        <v>45583.307326388887</v>
      </c>
      <c r="P1329" t="s">
        <v>122</v>
      </c>
    </row>
    <row r="1330" spans="1:16" x14ac:dyDescent="0.3">
      <c r="A1330" t="s">
        <v>25</v>
      </c>
      <c r="B1330" s="1">
        <v>45583.307326388887</v>
      </c>
      <c r="C1330" t="str">
        <f>"40"</f>
        <v>40</v>
      </c>
      <c r="D1330" t="s">
        <v>220</v>
      </c>
      <c r="E1330" t="s">
        <v>116</v>
      </c>
      <c r="F1330" t="s">
        <v>117</v>
      </c>
      <c r="G1330" t="s">
        <v>221</v>
      </c>
      <c r="H1330" t="s">
        <v>386</v>
      </c>
      <c r="I1330" t="str">
        <f>"101620000472280"</f>
        <v>101620000472280</v>
      </c>
      <c r="J1330" t="str">
        <f t="shared" ref="J1330:J1336" si="269">"127802"</f>
        <v>127802</v>
      </c>
      <c r="K1330" t="s">
        <v>6</v>
      </c>
      <c r="L1330">
        <v>91</v>
      </c>
      <c r="M1330">
        <v>0</v>
      </c>
      <c r="N1330">
        <v>-91</v>
      </c>
      <c r="O1330" s="1">
        <v>45583.307326388887</v>
      </c>
      <c r="P1330" t="s">
        <v>122</v>
      </c>
    </row>
    <row r="1331" spans="1:16" x14ac:dyDescent="0.3">
      <c r="A1331" t="s">
        <v>25</v>
      </c>
      <c r="B1331" s="1">
        <v>45583.307314814818</v>
      </c>
      <c r="C1331" t="str">
        <f t="shared" ref="C1331:C1336" si="270">"41"</f>
        <v>41</v>
      </c>
      <c r="D1331" t="s">
        <v>120</v>
      </c>
      <c r="E1331" t="s">
        <v>116</v>
      </c>
      <c r="F1331" t="s">
        <v>117</v>
      </c>
      <c r="H1331" t="s">
        <v>386</v>
      </c>
      <c r="I1331" t="str">
        <f>"101050002025877"</f>
        <v>101050002025877</v>
      </c>
      <c r="J1331" t="str">
        <f t="shared" si="269"/>
        <v>127802</v>
      </c>
      <c r="K1331" t="s">
        <v>6</v>
      </c>
      <c r="L1331">
        <v>91</v>
      </c>
      <c r="M1331">
        <v>91</v>
      </c>
      <c r="N1331">
        <v>0</v>
      </c>
      <c r="O1331" s="1">
        <v>45583.307314814818</v>
      </c>
      <c r="P1331" t="s">
        <v>122</v>
      </c>
    </row>
    <row r="1332" spans="1:16" x14ac:dyDescent="0.3">
      <c r="A1332" t="s">
        <v>25</v>
      </c>
      <c r="B1332" s="1">
        <v>45583.307314814818</v>
      </c>
      <c r="C1332" t="str">
        <f t="shared" si="270"/>
        <v>41</v>
      </c>
      <c r="D1332" t="s">
        <v>120</v>
      </c>
      <c r="E1332" t="s">
        <v>116</v>
      </c>
      <c r="F1332" t="s">
        <v>117</v>
      </c>
      <c r="H1332" t="s">
        <v>386</v>
      </c>
      <c r="I1332" t="str">
        <f>"101050002014958"</f>
        <v>101050002014958</v>
      </c>
      <c r="J1332" t="str">
        <f t="shared" si="269"/>
        <v>127802</v>
      </c>
      <c r="K1332" t="s">
        <v>6</v>
      </c>
      <c r="L1332">
        <v>91</v>
      </c>
      <c r="M1332">
        <v>91</v>
      </c>
      <c r="N1332">
        <v>0</v>
      </c>
      <c r="O1332" s="1">
        <v>45583.307314814818</v>
      </c>
      <c r="P1332" t="s">
        <v>122</v>
      </c>
    </row>
    <row r="1333" spans="1:16" x14ac:dyDescent="0.3">
      <c r="A1333" t="s">
        <v>25</v>
      </c>
      <c r="B1333" s="1">
        <v>45583.307314814818</v>
      </c>
      <c r="C1333" t="str">
        <f t="shared" si="270"/>
        <v>41</v>
      </c>
      <c r="D1333" t="s">
        <v>120</v>
      </c>
      <c r="E1333" t="s">
        <v>116</v>
      </c>
      <c r="F1333" t="s">
        <v>117</v>
      </c>
      <c r="H1333" t="s">
        <v>386</v>
      </c>
      <c r="I1333" t="str">
        <f>"101050002020126"</f>
        <v>101050002020126</v>
      </c>
      <c r="J1333" t="str">
        <f t="shared" si="269"/>
        <v>127802</v>
      </c>
      <c r="K1333" t="s">
        <v>6</v>
      </c>
      <c r="L1333">
        <v>91</v>
      </c>
      <c r="M1333">
        <v>91</v>
      </c>
      <c r="N1333">
        <v>0</v>
      </c>
      <c r="O1333" s="1">
        <v>45583.307314814818</v>
      </c>
      <c r="P1333" t="s">
        <v>122</v>
      </c>
    </row>
    <row r="1334" spans="1:16" x14ac:dyDescent="0.3">
      <c r="A1334" t="s">
        <v>25</v>
      </c>
      <c r="B1334" s="1">
        <v>45583.307314814818</v>
      </c>
      <c r="C1334" t="str">
        <f t="shared" si="270"/>
        <v>41</v>
      </c>
      <c r="D1334" t="s">
        <v>120</v>
      </c>
      <c r="E1334" t="s">
        <v>116</v>
      </c>
      <c r="F1334" t="s">
        <v>117</v>
      </c>
      <c r="H1334" t="s">
        <v>386</v>
      </c>
      <c r="I1334" t="str">
        <f>"101050002026492"</f>
        <v>101050002026492</v>
      </c>
      <c r="J1334" t="str">
        <f t="shared" si="269"/>
        <v>127802</v>
      </c>
      <c r="K1334" t="s">
        <v>6</v>
      </c>
      <c r="L1334">
        <v>91</v>
      </c>
      <c r="M1334">
        <v>91</v>
      </c>
      <c r="N1334">
        <v>0</v>
      </c>
      <c r="O1334" s="1">
        <v>45583.307314814818</v>
      </c>
      <c r="P1334" t="s">
        <v>122</v>
      </c>
    </row>
    <row r="1335" spans="1:16" x14ac:dyDescent="0.3">
      <c r="A1335" t="s">
        <v>25</v>
      </c>
      <c r="B1335" s="1">
        <v>45583.307314814818</v>
      </c>
      <c r="C1335" t="str">
        <f t="shared" si="270"/>
        <v>41</v>
      </c>
      <c r="D1335" t="s">
        <v>120</v>
      </c>
      <c r="E1335" t="s">
        <v>116</v>
      </c>
      <c r="F1335" t="s">
        <v>117</v>
      </c>
      <c r="H1335" t="s">
        <v>386</v>
      </c>
      <c r="I1335" t="str">
        <f>"101050002026396"</f>
        <v>101050002026396</v>
      </c>
      <c r="J1335" t="str">
        <f t="shared" si="269"/>
        <v>127802</v>
      </c>
      <c r="K1335" t="s">
        <v>6</v>
      </c>
      <c r="L1335">
        <v>91</v>
      </c>
      <c r="M1335">
        <v>91</v>
      </c>
      <c r="N1335">
        <v>0</v>
      </c>
      <c r="O1335" s="1">
        <v>45583.307314814818</v>
      </c>
      <c r="P1335" t="s">
        <v>122</v>
      </c>
    </row>
    <row r="1336" spans="1:16" x14ac:dyDescent="0.3">
      <c r="A1336" t="s">
        <v>25</v>
      </c>
      <c r="B1336" s="1">
        <v>45583.307314814818</v>
      </c>
      <c r="C1336" t="str">
        <f t="shared" si="270"/>
        <v>41</v>
      </c>
      <c r="D1336" t="s">
        <v>120</v>
      </c>
      <c r="E1336" t="s">
        <v>116</v>
      </c>
      <c r="F1336" t="s">
        <v>117</v>
      </c>
      <c r="H1336" t="s">
        <v>386</v>
      </c>
      <c r="I1336" t="str">
        <f>"101050002026449"</f>
        <v>101050002026449</v>
      </c>
      <c r="J1336" t="str">
        <f t="shared" si="269"/>
        <v>127802</v>
      </c>
      <c r="K1336" t="s">
        <v>6</v>
      </c>
      <c r="L1336">
        <v>91</v>
      </c>
      <c r="M1336">
        <v>91</v>
      </c>
      <c r="N1336">
        <v>0</v>
      </c>
      <c r="O1336" s="1">
        <v>45583.307314814818</v>
      </c>
      <c r="P1336" t="s">
        <v>122</v>
      </c>
    </row>
    <row r="1337" spans="1:16" x14ac:dyDescent="0.3">
      <c r="A1337" t="s">
        <v>25</v>
      </c>
      <c r="B1337" s="1">
        <v>45583.299317129633</v>
      </c>
      <c r="C1337" t="str">
        <f>"38"</f>
        <v>38</v>
      </c>
      <c r="D1337" t="s">
        <v>115</v>
      </c>
      <c r="E1337" t="s">
        <v>116</v>
      </c>
      <c r="F1337" t="s">
        <v>117</v>
      </c>
      <c r="H1337" t="s">
        <v>387</v>
      </c>
      <c r="L1337">
        <v>0</v>
      </c>
      <c r="M1337">
        <v>0</v>
      </c>
      <c r="N1337">
        <v>0</v>
      </c>
      <c r="O1337" s="1">
        <v>45583.299317129633</v>
      </c>
      <c r="P1337" t="s">
        <v>125</v>
      </c>
    </row>
    <row r="1338" spans="1:16" x14ac:dyDescent="0.3">
      <c r="A1338" t="s">
        <v>25</v>
      </c>
      <c r="B1338" s="1">
        <v>45583.299317129633</v>
      </c>
      <c r="C1338" t="str">
        <f>"41"</f>
        <v>41</v>
      </c>
      <c r="D1338" t="s">
        <v>120</v>
      </c>
      <c r="E1338" t="s">
        <v>116</v>
      </c>
      <c r="F1338" t="s">
        <v>117</v>
      </c>
      <c r="H1338" t="s">
        <v>387</v>
      </c>
      <c r="I1338" t="str">
        <f>"101050002003400"</f>
        <v>101050002003400</v>
      </c>
      <c r="J1338" t="str">
        <f>"514913"</f>
        <v>514913</v>
      </c>
      <c r="K1338" t="s">
        <v>93</v>
      </c>
      <c r="L1338">
        <v>91</v>
      </c>
      <c r="M1338">
        <v>91</v>
      </c>
      <c r="N1338">
        <v>0</v>
      </c>
      <c r="O1338" s="1">
        <v>45583.299317129633</v>
      </c>
      <c r="P1338" t="s">
        <v>125</v>
      </c>
    </row>
    <row r="1339" spans="1:16" x14ac:dyDescent="0.3">
      <c r="A1339" t="s">
        <v>25</v>
      </c>
      <c r="B1339" s="1">
        <v>45583.299317129633</v>
      </c>
      <c r="C1339" t="str">
        <f>"41"</f>
        <v>41</v>
      </c>
      <c r="D1339" t="s">
        <v>120</v>
      </c>
      <c r="E1339" t="s">
        <v>116</v>
      </c>
      <c r="F1339" t="s">
        <v>117</v>
      </c>
      <c r="H1339" t="s">
        <v>387</v>
      </c>
      <c r="I1339" t="str">
        <f>"101050001986074"</f>
        <v>101050001986074</v>
      </c>
      <c r="J1339" t="str">
        <f>"514913"</f>
        <v>514913</v>
      </c>
      <c r="K1339" t="s">
        <v>93</v>
      </c>
      <c r="L1339">
        <v>91</v>
      </c>
      <c r="M1339">
        <v>91</v>
      </c>
      <c r="N1339">
        <v>0</v>
      </c>
      <c r="O1339" s="1">
        <v>45583.299317129633</v>
      </c>
      <c r="P1339" t="s">
        <v>125</v>
      </c>
    </row>
    <row r="1340" spans="1:16" x14ac:dyDescent="0.3">
      <c r="A1340" t="s">
        <v>25</v>
      </c>
      <c r="B1340" s="1">
        <v>45583.299027777779</v>
      </c>
      <c r="C1340" t="str">
        <f>"38"</f>
        <v>38</v>
      </c>
      <c r="D1340" t="s">
        <v>115</v>
      </c>
      <c r="E1340" t="s">
        <v>116</v>
      </c>
      <c r="F1340" t="s">
        <v>117</v>
      </c>
      <c r="H1340" t="s">
        <v>388</v>
      </c>
      <c r="L1340">
        <v>0</v>
      </c>
      <c r="M1340">
        <v>0</v>
      </c>
      <c r="N1340">
        <v>0</v>
      </c>
      <c r="O1340" s="1">
        <v>45583.299027777779</v>
      </c>
      <c r="P1340" t="s">
        <v>125</v>
      </c>
    </row>
    <row r="1341" spans="1:16" x14ac:dyDescent="0.3">
      <c r="A1341" t="s">
        <v>25</v>
      </c>
      <c r="B1341" s="1">
        <v>45583.299027777779</v>
      </c>
      <c r="C1341" t="str">
        <f t="shared" ref="C1341:C1347" si="271">"41"</f>
        <v>41</v>
      </c>
      <c r="D1341" t="s">
        <v>120</v>
      </c>
      <c r="E1341" t="s">
        <v>116</v>
      </c>
      <c r="F1341" t="s">
        <v>117</v>
      </c>
      <c r="H1341" t="s">
        <v>388</v>
      </c>
      <c r="I1341" t="str">
        <f>"101050002024104"</f>
        <v>101050002024104</v>
      </c>
      <c r="J1341" t="str">
        <f t="shared" ref="J1341:J1347" si="272">"515120"</f>
        <v>515120</v>
      </c>
      <c r="K1341" t="s">
        <v>2</v>
      </c>
      <c r="L1341">
        <v>49</v>
      </c>
      <c r="M1341">
        <v>49</v>
      </c>
      <c r="N1341">
        <v>0</v>
      </c>
      <c r="O1341" s="1">
        <v>45583.299027777779</v>
      </c>
      <c r="P1341" t="s">
        <v>125</v>
      </c>
    </row>
    <row r="1342" spans="1:16" x14ac:dyDescent="0.3">
      <c r="A1342" t="s">
        <v>25</v>
      </c>
      <c r="B1342" s="1">
        <v>45583.299027777779</v>
      </c>
      <c r="C1342" t="str">
        <f t="shared" si="271"/>
        <v>41</v>
      </c>
      <c r="D1342" t="s">
        <v>120</v>
      </c>
      <c r="E1342" t="s">
        <v>116</v>
      </c>
      <c r="F1342" t="s">
        <v>117</v>
      </c>
      <c r="H1342" t="s">
        <v>388</v>
      </c>
      <c r="I1342" t="str">
        <f>"101050002024105"</f>
        <v>101050002024105</v>
      </c>
      <c r="J1342" t="str">
        <f t="shared" si="272"/>
        <v>515120</v>
      </c>
      <c r="K1342" t="s">
        <v>2</v>
      </c>
      <c r="L1342">
        <v>49</v>
      </c>
      <c r="M1342">
        <v>49</v>
      </c>
      <c r="N1342">
        <v>0</v>
      </c>
      <c r="O1342" s="1">
        <v>45583.299027777779</v>
      </c>
      <c r="P1342" t="s">
        <v>125</v>
      </c>
    </row>
    <row r="1343" spans="1:16" x14ac:dyDescent="0.3">
      <c r="A1343" t="s">
        <v>25</v>
      </c>
      <c r="B1343" s="1">
        <v>45583.299016203702</v>
      </c>
      <c r="C1343" t="str">
        <f t="shared" si="271"/>
        <v>41</v>
      </c>
      <c r="D1343" t="s">
        <v>120</v>
      </c>
      <c r="E1343" t="s">
        <v>116</v>
      </c>
      <c r="F1343" t="s">
        <v>117</v>
      </c>
      <c r="H1343" t="s">
        <v>388</v>
      </c>
      <c r="I1343" t="str">
        <f>"101050002024081"</f>
        <v>101050002024081</v>
      </c>
      <c r="J1343" t="str">
        <f t="shared" si="272"/>
        <v>515120</v>
      </c>
      <c r="K1343" t="s">
        <v>2</v>
      </c>
      <c r="L1343">
        <v>49</v>
      </c>
      <c r="M1343">
        <v>49</v>
      </c>
      <c r="N1343">
        <v>0</v>
      </c>
      <c r="O1343" s="1">
        <v>45583.299016203702</v>
      </c>
      <c r="P1343" t="s">
        <v>125</v>
      </c>
    </row>
    <row r="1344" spans="1:16" x14ac:dyDescent="0.3">
      <c r="A1344" t="s">
        <v>25</v>
      </c>
      <c r="B1344" s="1">
        <v>45583.299016203702</v>
      </c>
      <c r="C1344" t="str">
        <f t="shared" si="271"/>
        <v>41</v>
      </c>
      <c r="D1344" t="s">
        <v>120</v>
      </c>
      <c r="E1344" t="s">
        <v>116</v>
      </c>
      <c r="F1344" t="s">
        <v>117</v>
      </c>
      <c r="H1344" t="s">
        <v>388</v>
      </c>
      <c r="I1344" t="str">
        <f>"101050002024102"</f>
        <v>101050002024102</v>
      </c>
      <c r="J1344" t="str">
        <f t="shared" si="272"/>
        <v>515120</v>
      </c>
      <c r="K1344" t="s">
        <v>2</v>
      </c>
      <c r="L1344">
        <v>49</v>
      </c>
      <c r="M1344">
        <v>49</v>
      </c>
      <c r="N1344">
        <v>0</v>
      </c>
      <c r="O1344" s="1">
        <v>45583.299016203702</v>
      </c>
      <c r="P1344" t="s">
        <v>125</v>
      </c>
    </row>
    <row r="1345" spans="1:16" x14ac:dyDescent="0.3">
      <c r="A1345" t="s">
        <v>25</v>
      </c>
      <c r="B1345" s="1">
        <v>45583.299016203702</v>
      </c>
      <c r="C1345" t="str">
        <f t="shared" si="271"/>
        <v>41</v>
      </c>
      <c r="D1345" t="s">
        <v>120</v>
      </c>
      <c r="E1345" t="s">
        <v>116</v>
      </c>
      <c r="F1345" t="s">
        <v>117</v>
      </c>
      <c r="H1345" t="s">
        <v>388</v>
      </c>
      <c r="I1345" t="str">
        <f>"101050002024084"</f>
        <v>101050002024084</v>
      </c>
      <c r="J1345" t="str">
        <f t="shared" si="272"/>
        <v>515120</v>
      </c>
      <c r="K1345" t="s">
        <v>2</v>
      </c>
      <c r="L1345">
        <v>49</v>
      </c>
      <c r="M1345">
        <v>49</v>
      </c>
      <c r="N1345">
        <v>0</v>
      </c>
      <c r="O1345" s="1">
        <v>45583.299016203702</v>
      </c>
      <c r="P1345" t="s">
        <v>125</v>
      </c>
    </row>
    <row r="1346" spans="1:16" x14ac:dyDescent="0.3">
      <c r="A1346" t="s">
        <v>25</v>
      </c>
      <c r="B1346" s="1">
        <v>45583.299016203702</v>
      </c>
      <c r="C1346" t="str">
        <f t="shared" si="271"/>
        <v>41</v>
      </c>
      <c r="D1346" t="s">
        <v>120</v>
      </c>
      <c r="E1346" t="s">
        <v>116</v>
      </c>
      <c r="F1346" t="s">
        <v>117</v>
      </c>
      <c r="H1346" t="s">
        <v>388</v>
      </c>
      <c r="I1346" t="str">
        <f>"101050002024101"</f>
        <v>101050002024101</v>
      </c>
      <c r="J1346" t="str">
        <f t="shared" si="272"/>
        <v>515120</v>
      </c>
      <c r="K1346" t="s">
        <v>2</v>
      </c>
      <c r="L1346">
        <v>49</v>
      </c>
      <c r="M1346">
        <v>49</v>
      </c>
      <c r="N1346">
        <v>0</v>
      </c>
      <c r="O1346" s="1">
        <v>45583.299016203702</v>
      </c>
      <c r="P1346" t="s">
        <v>125</v>
      </c>
    </row>
    <row r="1347" spans="1:16" x14ac:dyDescent="0.3">
      <c r="A1347" t="s">
        <v>25</v>
      </c>
      <c r="B1347" s="1">
        <v>45583.299016203702</v>
      </c>
      <c r="C1347" t="str">
        <f t="shared" si="271"/>
        <v>41</v>
      </c>
      <c r="D1347" t="s">
        <v>120</v>
      </c>
      <c r="E1347" t="s">
        <v>116</v>
      </c>
      <c r="F1347" t="s">
        <v>117</v>
      </c>
      <c r="H1347" t="s">
        <v>388</v>
      </c>
      <c r="I1347" t="str">
        <f>"101050002024083"</f>
        <v>101050002024083</v>
      </c>
      <c r="J1347" t="str">
        <f t="shared" si="272"/>
        <v>515120</v>
      </c>
      <c r="K1347" t="s">
        <v>2</v>
      </c>
      <c r="L1347">
        <v>49</v>
      </c>
      <c r="M1347">
        <v>49</v>
      </c>
      <c r="N1347">
        <v>0</v>
      </c>
      <c r="O1347" s="1">
        <v>45583.299016203702</v>
      </c>
      <c r="P1347" t="s">
        <v>125</v>
      </c>
    </row>
    <row r="1348" spans="1:16" x14ac:dyDescent="0.3">
      <c r="A1348" t="s">
        <v>25</v>
      </c>
      <c r="B1348" s="1">
        <v>45583.300509259258</v>
      </c>
      <c r="C1348" t="str">
        <f>"38"</f>
        <v>38</v>
      </c>
      <c r="D1348" t="s">
        <v>115</v>
      </c>
      <c r="E1348" t="s">
        <v>116</v>
      </c>
      <c r="F1348" t="s">
        <v>117</v>
      </c>
      <c r="H1348" t="s">
        <v>389</v>
      </c>
      <c r="L1348">
        <v>0</v>
      </c>
      <c r="M1348">
        <v>0</v>
      </c>
      <c r="N1348">
        <v>0</v>
      </c>
      <c r="O1348" s="1">
        <v>45583.300509259258</v>
      </c>
      <c r="P1348" t="s">
        <v>122</v>
      </c>
    </row>
    <row r="1349" spans="1:16" x14ac:dyDescent="0.3">
      <c r="A1349" t="s">
        <v>25</v>
      </c>
      <c r="B1349" s="1">
        <v>45583.300509259258</v>
      </c>
      <c r="C1349" t="str">
        <f t="shared" ref="C1349:C1355" si="273">"41"</f>
        <v>41</v>
      </c>
      <c r="D1349" t="s">
        <v>120</v>
      </c>
      <c r="E1349" t="s">
        <v>116</v>
      </c>
      <c r="F1349" t="s">
        <v>117</v>
      </c>
      <c r="H1349" t="s">
        <v>389</v>
      </c>
      <c r="I1349" t="str">
        <f>"101050002024805"</f>
        <v>101050002024805</v>
      </c>
      <c r="J1349" t="str">
        <f t="shared" ref="J1349:J1355" si="274">"515123"</f>
        <v>515123</v>
      </c>
      <c r="K1349" t="s">
        <v>19</v>
      </c>
      <c r="L1349">
        <v>49</v>
      </c>
      <c r="M1349">
        <v>49</v>
      </c>
      <c r="N1349">
        <v>0</v>
      </c>
      <c r="O1349" s="1">
        <v>45583.300509259258</v>
      </c>
      <c r="P1349" t="s">
        <v>122</v>
      </c>
    </row>
    <row r="1350" spans="1:16" x14ac:dyDescent="0.3">
      <c r="A1350" t="s">
        <v>25</v>
      </c>
      <c r="B1350" s="1">
        <v>45583.300509259258</v>
      </c>
      <c r="C1350" t="str">
        <f t="shared" si="273"/>
        <v>41</v>
      </c>
      <c r="D1350" t="s">
        <v>120</v>
      </c>
      <c r="E1350" t="s">
        <v>116</v>
      </c>
      <c r="F1350" t="s">
        <v>117</v>
      </c>
      <c r="H1350" t="s">
        <v>389</v>
      </c>
      <c r="I1350" t="str">
        <f>"101050002024383"</f>
        <v>101050002024383</v>
      </c>
      <c r="J1350" t="str">
        <f t="shared" si="274"/>
        <v>515123</v>
      </c>
      <c r="K1350" t="s">
        <v>19</v>
      </c>
      <c r="L1350">
        <v>49</v>
      </c>
      <c r="M1350">
        <v>49</v>
      </c>
      <c r="N1350">
        <v>0</v>
      </c>
      <c r="O1350" s="1">
        <v>45583.300509259258</v>
      </c>
      <c r="P1350" t="s">
        <v>122</v>
      </c>
    </row>
    <row r="1351" spans="1:16" x14ac:dyDescent="0.3">
      <c r="A1351" t="s">
        <v>25</v>
      </c>
      <c r="B1351" s="1">
        <v>45583.300509259258</v>
      </c>
      <c r="C1351" t="str">
        <f t="shared" si="273"/>
        <v>41</v>
      </c>
      <c r="D1351" t="s">
        <v>120</v>
      </c>
      <c r="E1351" t="s">
        <v>116</v>
      </c>
      <c r="F1351" t="s">
        <v>117</v>
      </c>
      <c r="H1351" t="s">
        <v>389</v>
      </c>
      <c r="I1351" t="str">
        <f>"101050002018796"</f>
        <v>101050002018796</v>
      </c>
      <c r="J1351" t="str">
        <f t="shared" si="274"/>
        <v>515123</v>
      </c>
      <c r="K1351" t="s">
        <v>19</v>
      </c>
      <c r="L1351">
        <v>49</v>
      </c>
      <c r="M1351">
        <v>49</v>
      </c>
      <c r="N1351">
        <v>0</v>
      </c>
      <c r="O1351" s="1">
        <v>45583.300509259258</v>
      </c>
      <c r="P1351" t="s">
        <v>122</v>
      </c>
    </row>
    <row r="1352" spans="1:16" x14ac:dyDescent="0.3">
      <c r="A1352" t="s">
        <v>25</v>
      </c>
      <c r="B1352" s="1">
        <v>45583.300509259258</v>
      </c>
      <c r="C1352" t="str">
        <f t="shared" si="273"/>
        <v>41</v>
      </c>
      <c r="D1352" t="s">
        <v>120</v>
      </c>
      <c r="E1352" t="s">
        <v>116</v>
      </c>
      <c r="F1352" t="s">
        <v>117</v>
      </c>
      <c r="H1352" t="s">
        <v>389</v>
      </c>
      <c r="I1352" t="str">
        <f>"101050002018268"</f>
        <v>101050002018268</v>
      </c>
      <c r="J1352" t="str">
        <f t="shared" si="274"/>
        <v>515123</v>
      </c>
      <c r="K1352" t="s">
        <v>19</v>
      </c>
      <c r="L1352">
        <v>49</v>
      </c>
      <c r="M1352">
        <v>49</v>
      </c>
      <c r="N1352">
        <v>0</v>
      </c>
      <c r="O1352" s="1">
        <v>45583.300509259258</v>
      </c>
      <c r="P1352" t="s">
        <v>122</v>
      </c>
    </row>
    <row r="1353" spans="1:16" x14ac:dyDescent="0.3">
      <c r="A1353" t="s">
        <v>25</v>
      </c>
      <c r="B1353" s="1">
        <v>45583.300497685188</v>
      </c>
      <c r="C1353" t="str">
        <f t="shared" si="273"/>
        <v>41</v>
      </c>
      <c r="D1353" t="s">
        <v>120</v>
      </c>
      <c r="E1353" t="s">
        <v>116</v>
      </c>
      <c r="F1353" t="s">
        <v>117</v>
      </c>
      <c r="H1353" t="s">
        <v>389</v>
      </c>
      <c r="I1353" t="str">
        <f>"101050002018099"</f>
        <v>101050002018099</v>
      </c>
      <c r="J1353" t="str">
        <f t="shared" si="274"/>
        <v>515123</v>
      </c>
      <c r="K1353" t="s">
        <v>19</v>
      </c>
      <c r="L1353">
        <v>49</v>
      </c>
      <c r="M1353">
        <v>49</v>
      </c>
      <c r="N1353">
        <v>0</v>
      </c>
      <c r="O1353" s="1">
        <v>45583.300497685188</v>
      </c>
      <c r="P1353" t="s">
        <v>122</v>
      </c>
    </row>
    <row r="1354" spans="1:16" x14ac:dyDescent="0.3">
      <c r="A1354" t="s">
        <v>25</v>
      </c>
      <c r="B1354" s="1">
        <v>45583.300497685188</v>
      </c>
      <c r="C1354" t="str">
        <f t="shared" si="273"/>
        <v>41</v>
      </c>
      <c r="D1354" t="s">
        <v>120</v>
      </c>
      <c r="E1354" t="s">
        <v>116</v>
      </c>
      <c r="F1354" t="s">
        <v>117</v>
      </c>
      <c r="H1354" t="s">
        <v>389</v>
      </c>
      <c r="I1354" t="str">
        <f>"101050002018095"</f>
        <v>101050002018095</v>
      </c>
      <c r="J1354" t="str">
        <f t="shared" si="274"/>
        <v>515123</v>
      </c>
      <c r="K1354" t="s">
        <v>19</v>
      </c>
      <c r="L1354">
        <v>49</v>
      </c>
      <c r="M1354">
        <v>49</v>
      </c>
      <c r="N1354">
        <v>0</v>
      </c>
      <c r="O1354" s="1">
        <v>45583.300497685188</v>
      </c>
      <c r="P1354" t="s">
        <v>122</v>
      </c>
    </row>
    <row r="1355" spans="1:16" x14ac:dyDescent="0.3">
      <c r="A1355" t="s">
        <v>25</v>
      </c>
      <c r="B1355" s="1">
        <v>45583.300497685188</v>
      </c>
      <c r="C1355" t="str">
        <f t="shared" si="273"/>
        <v>41</v>
      </c>
      <c r="D1355" t="s">
        <v>120</v>
      </c>
      <c r="E1355" t="s">
        <v>116</v>
      </c>
      <c r="F1355" t="s">
        <v>117</v>
      </c>
      <c r="H1355" t="s">
        <v>389</v>
      </c>
      <c r="I1355" t="str">
        <f>"101050002016994"</f>
        <v>101050002016994</v>
      </c>
      <c r="J1355" t="str">
        <f t="shared" si="274"/>
        <v>515123</v>
      </c>
      <c r="K1355" t="s">
        <v>19</v>
      </c>
      <c r="L1355">
        <v>49</v>
      </c>
      <c r="M1355">
        <v>49</v>
      </c>
      <c r="N1355">
        <v>0</v>
      </c>
      <c r="O1355" s="1">
        <v>45583.300497685188</v>
      </c>
      <c r="P1355" t="s">
        <v>122</v>
      </c>
    </row>
    <row r="1356" spans="1:16" x14ac:dyDescent="0.3">
      <c r="A1356" t="s">
        <v>25</v>
      </c>
      <c r="B1356" s="1">
        <v>45583.299201388887</v>
      </c>
      <c r="C1356" t="str">
        <f>"38"</f>
        <v>38</v>
      </c>
      <c r="D1356" t="s">
        <v>115</v>
      </c>
      <c r="E1356" t="s">
        <v>116</v>
      </c>
      <c r="F1356" t="s">
        <v>117</v>
      </c>
      <c r="H1356" t="s">
        <v>390</v>
      </c>
      <c r="L1356">
        <v>0</v>
      </c>
      <c r="M1356">
        <v>0</v>
      </c>
      <c r="N1356">
        <v>0</v>
      </c>
      <c r="O1356" s="1">
        <v>45583.299201388887</v>
      </c>
      <c r="P1356" t="s">
        <v>122</v>
      </c>
    </row>
    <row r="1357" spans="1:16" x14ac:dyDescent="0.3">
      <c r="A1357" t="s">
        <v>25</v>
      </c>
      <c r="B1357" s="1">
        <v>45583.299201388887</v>
      </c>
      <c r="C1357" t="str">
        <f t="shared" ref="C1357:C1363" si="275">"41"</f>
        <v>41</v>
      </c>
      <c r="D1357" t="s">
        <v>120</v>
      </c>
      <c r="E1357" t="s">
        <v>116</v>
      </c>
      <c r="F1357" t="s">
        <v>117</v>
      </c>
      <c r="H1357" t="s">
        <v>390</v>
      </c>
      <c r="I1357" t="str">
        <f>"101620000472015"</f>
        <v>101620000472015</v>
      </c>
      <c r="J1357" t="str">
        <f t="shared" ref="J1357:J1363" si="276">"127802"</f>
        <v>127802</v>
      </c>
      <c r="K1357" t="s">
        <v>6</v>
      </c>
      <c r="L1357">
        <v>91</v>
      </c>
      <c r="M1357">
        <v>91</v>
      </c>
      <c r="N1357">
        <v>0</v>
      </c>
      <c r="O1357" s="1">
        <v>45583.299201388887</v>
      </c>
      <c r="P1357" t="s">
        <v>122</v>
      </c>
    </row>
    <row r="1358" spans="1:16" x14ac:dyDescent="0.3">
      <c r="A1358" t="s">
        <v>25</v>
      </c>
      <c r="B1358" s="1">
        <v>45583.299201388887</v>
      </c>
      <c r="C1358" t="str">
        <f t="shared" si="275"/>
        <v>41</v>
      </c>
      <c r="D1358" t="s">
        <v>120</v>
      </c>
      <c r="E1358" t="s">
        <v>116</v>
      </c>
      <c r="F1358" t="s">
        <v>117</v>
      </c>
      <c r="H1358" t="s">
        <v>390</v>
      </c>
      <c r="I1358" t="str">
        <f>"101620000472013"</f>
        <v>101620000472013</v>
      </c>
      <c r="J1358" t="str">
        <f t="shared" si="276"/>
        <v>127802</v>
      </c>
      <c r="K1358" t="s">
        <v>6</v>
      </c>
      <c r="L1358">
        <v>91</v>
      </c>
      <c r="M1358">
        <v>91</v>
      </c>
      <c r="N1358">
        <v>0</v>
      </c>
      <c r="O1358" s="1">
        <v>45583.299201388887</v>
      </c>
      <c r="P1358" t="s">
        <v>122</v>
      </c>
    </row>
    <row r="1359" spans="1:16" x14ac:dyDescent="0.3">
      <c r="A1359" t="s">
        <v>25</v>
      </c>
      <c r="B1359" s="1">
        <v>45583.299189814818</v>
      </c>
      <c r="C1359" t="str">
        <f t="shared" si="275"/>
        <v>41</v>
      </c>
      <c r="D1359" t="s">
        <v>120</v>
      </c>
      <c r="E1359" t="s">
        <v>116</v>
      </c>
      <c r="F1359" t="s">
        <v>117</v>
      </c>
      <c r="H1359" t="s">
        <v>390</v>
      </c>
      <c r="I1359" t="str">
        <f>"101620000472012"</f>
        <v>101620000472012</v>
      </c>
      <c r="J1359" t="str">
        <f t="shared" si="276"/>
        <v>127802</v>
      </c>
      <c r="K1359" t="s">
        <v>6</v>
      </c>
      <c r="L1359">
        <v>91</v>
      </c>
      <c r="M1359">
        <v>91</v>
      </c>
      <c r="N1359">
        <v>0</v>
      </c>
      <c r="O1359" s="1">
        <v>45583.299189814818</v>
      </c>
      <c r="P1359" t="s">
        <v>122</v>
      </c>
    </row>
    <row r="1360" spans="1:16" x14ac:dyDescent="0.3">
      <c r="A1360" t="s">
        <v>25</v>
      </c>
      <c r="B1360" s="1">
        <v>45583.299189814818</v>
      </c>
      <c r="C1360" t="str">
        <f t="shared" si="275"/>
        <v>41</v>
      </c>
      <c r="D1360" t="s">
        <v>120</v>
      </c>
      <c r="E1360" t="s">
        <v>116</v>
      </c>
      <c r="F1360" t="s">
        <v>117</v>
      </c>
      <c r="H1360" t="s">
        <v>390</v>
      </c>
      <c r="I1360" t="str">
        <f>"101620000472011"</f>
        <v>101620000472011</v>
      </c>
      <c r="J1360" t="str">
        <f t="shared" si="276"/>
        <v>127802</v>
      </c>
      <c r="K1360" t="s">
        <v>6</v>
      </c>
      <c r="L1360">
        <v>91</v>
      </c>
      <c r="M1360">
        <v>91</v>
      </c>
      <c r="N1360">
        <v>0</v>
      </c>
      <c r="O1360" s="1">
        <v>45583.299189814818</v>
      </c>
      <c r="P1360" t="s">
        <v>122</v>
      </c>
    </row>
    <row r="1361" spans="1:16" x14ac:dyDescent="0.3">
      <c r="A1361" t="s">
        <v>25</v>
      </c>
      <c r="B1361" s="1">
        <v>45583.299189814818</v>
      </c>
      <c r="C1361" t="str">
        <f t="shared" si="275"/>
        <v>41</v>
      </c>
      <c r="D1361" t="s">
        <v>120</v>
      </c>
      <c r="E1361" t="s">
        <v>116</v>
      </c>
      <c r="F1361" t="s">
        <v>117</v>
      </c>
      <c r="H1361" t="s">
        <v>390</v>
      </c>
      <c r="I1361" t="str">
        <f>"101050002015647"</f>
        <v>101050002015647</v>
      </c>
      <c r="J1361" t="str">
        <f t="shared" si="276"/>
        <v>127802</v>
      </c>
      <c r="K1361" t="s">
        <v>6</v>
      </c>
      <c r="L1361">
        <v>91</v>
      </c>
      <c r="M1361">
        <v>91</v>
      </c>
      <c r="N1361">
        <v>0</v>
      </c>
      <c r="O1361" s="1">
        <v>45583.299189814818</v>
      </c>
      <c r="P1361" t="s">
        <v>122</v>
      </c>
    </row>
    <row r="1362" spans="1:16" x14ac:dyDescent="0.3">
      <c r="A1362" t="s">
        <v>25</v>
      </c>
      <c r="B1362" s="1">
        <v>45583.299189814818</v>
      </c>
      <c r="C1362" t="str">
        <f t="shared" si="275"/>
        <v>41</v>
      </c>
      <c r="D1362" t="s">
        <v>120</v>
      </c>
      <c r="E1362" t="s">
        <v>116</v>
      </c>
      <c r="F1362" t="s">
        <v>117</v>
      </c>
      <c r="H1362" t="s">
        <v>390</v>
      </c>
      <c r="I1362" t="str">
        <f>"101050002014960"</f>
        <v>101050002014960</v>
      </c>
      <c r="J1362" t="str">
        <f t="shared" si="276"/>
        <v>127802</v>
      </c>
      <c r="K1362" t="s">
        <v>6</v>
      </c>
      <c r="L1362">
        <v>91</v>
      </c>
      <c r="M1362">
        <v>91</v>
      </c>
      <c r="N1362">
        <v>0</v>
      </c>
      <c r="O1362" s="1">
        <v>45583.299189814818</v>
      </c>
      <c r="P1362" t="s">
        <v>122</v>
      </c>
    </row>
    <row r="1363" spans="1:16" x14ac:dyDescent="0.3">
      <c r="A1363" t="s">
        <v>25</v>
      </c>
      <c r="B1363" s="1">
        <v>45583.299189814818</v>
      </c>
      <c r="C1363" t="str">
        <f t="shared" si="275"/>
        <v>41</v>
      </c>
      <c r="D1363" t="s">
        <v>120</v>
      </c>
      <c r="E1363" t="s">
        <v>116</v>
      </c>
      <c r="F1363" t="s">
        <v>117</v>
      </c>
      <c r="H1363" t="s">
        <v>390</v>
      </c>
      <c r="I1363" t="str">
        <f>"101050002015646"</f>
        <v>101050002015646</v>
      </c>
      <c r="J1363" t="str">
        <f t="shared" si="276"/>
        <v>127802</v>
      </c>
      <c r="K1363" t="s">
        <v>6</v>
      </c>
      <c r="L1363">
        <v>91</v>
      </c>
      <c r="M1363">
        <v>91</v>
      </c>
      <c r="N1363">
        <v>0</v>
      </c>
      <c r="O1363" s="1">
        <v>45583.299189814818</v>
      </c>
      <c r="P1363" t="s">
        <v>122</v>
      </c>
    </row>
    <row r="1364" spans="1:16" x14ac:dyDescent="0.3">
      <c r="A1364" t="s">
        <v>25</v>
      </c>
      <c r="B1364" s="1">
        <v>45583.297592592593</v>
      </c>
      <c r="C1364" t="str">
        <f>"38"</f>
        <v>38</v>
      </c>
      <c r="D1364" t="s">
        <v>115</v>
      </c>
      <c r="E1364" t="s">
        <v>116</v>
      </c>
      <c r="F1364" t="s">
        <v>117</v>
      </c>
      <c r="H1364" t="s">
        <v>391</v>
      </c>
      <c r="L1364">
        <v>0</v>
      </c>
      <c r="M1364">
        <v>0</v>
      </c>
      <c r="N1364">
        <v>0</v>
      </c>
      <c r="O1364" s="1">
        <v>45583.297592592593</v>
      </c>
      <c r="P1364" t="s">
        <v>392</v>
      </c>
    </row>
    <row r="1365" spans="1:16" x14ac:dyDescent="0.3">
      <c r="A1365" t="s">
        <v>25</v>
      </c>
      <c r="B1365" s="1">
        <v>45583.297592592593</v>
      </c>
      <c r="C1365" t="str">
        <f t="shared" ref="C1365:C1371" si="277">"41"</f>
        <v>41</v>
      </c>
      <c r="D1365" t="s">
        <v>120</v>
      </c>
      <c r="E1365" t="s">
        <v>116</v>
      </c>
      <c r="F1365" t="s">
        <v>117</v>
      </c>
      <c r="H1365" t="s">
        <v>391</v>
      </c>
      <c r="I1365" t="str">
        <f>"101570001112208"</f>
        <v>101570001112208</v>
      </c>
      <c r="J1365" t="str">
        <f t="shared" ref="J1365:J1371" si="278">"128432"</f>
        <v>128432</v>
      </c>
      <c r="K1365" t="s">
        <v>21</v>
      </c>
      <c r="L1365">
        <v>49</v>
      </c>
      <c r="M1365">
        <v>49</v>
      </c>
      <c r="N1365">
        <v>0</v>
      </c>
      <c r="O1365" s="1">
        <v>45583.297592592593</v>
      </c>
      <c r="P1365" t="s">
        <v>392</v>
      </c>
    </row>
    <row r="1366" spans="1:16" x14ac:dyDescent="0.3">
      <c r="A1366" t="s">
        <v>25</v>
      </c>
      <c r="B1366" s="1">
        <v>45583.297592592593</v>
      </c>
      <c r="C1366" t="str">
        <f t="shared" si="277"/>
        <v>41</v>
      </c>
      <c r="D1366" t="s">
        <v>120</v>
      </c>
      <c r="E1366" t="s">
        <v>116</v>
      </c>
      <c r="F1366" t="s">
        <v>117</v>
      </c>
      <c r="H1366" t="s">
        <v>391</v>
      </c>
      <c r="I1366" t="str">
        <f>"101570001112083"</f>
        <v>101570001112083</v>
      </c>
      <c r="J1366" t="str">
        <f t="shared" si="278"/>
        <v>128432</v>
      </c>
      <c r="K1366" t="s">
        <v>21</v>
      </c>
      <c r="L1366">
        <v>49</v>
      </c>
      <c r="M1366">
        <v>49</v>
      </c>
      <c r="N1366">
        <v>0</v>
      </c>
      <c r="O1366" s="1">
        <v>45583.297592592593</v>
      </c>
      <c r="P1366" t="s">
        <v>392</v>
      </c>
    </row>
    <row r="1367" spans="1:16" x14ac:dyDescent="0.3">
      <c r="A1367" t="s">
        <v>25</v>
      </c>
      <c r="B1367" s="1">
        <v>45583.297592592593</v>
      </c>
      <c r="C1367" t="str">
        <f t="shared" si="277"/>
        <v>41</v>
      </c>
      <c r="D1367" t="s">
        <v>120</v>
      </c>
      <c r="E1367" t="s">
        <v>116</v>
      </c>
      <c r="F1367" t="s">
        <v>117</v>
      </c>
      <c r="H1367" t="s">
        <v>391</v>
      </c>
      <c r="I1367" t="str">
        <f>"101570001112082"</f>
        <v>101570001112082</v>
      </c>
      <c r="J1367" t="str">
        <f t="shared" si="278"/>
        <v>128432</v>
      </c>
      <c r="K1367" t="s">
        <v>21</v>
      </c>
      <c r="L1367">
        <v>49</v>
      </c>
      <c r="M1367">
        <v>49</v>
      </c>
      <c r="N1367">
        <v>0</v>
      </c>
      <c r="O1367" s="1">
        <v>45583.297592592593</v>
      </c>
      <c r="P1367" t="s">
        <v>392</v>
      </c>
    </row>
    <row r="1368" spans="1:16" x14ac:dyDescent="0.3">
      <c r="A1368" t="s">
        <v>25</v>
      </c>
      <c r="B1368" s="1">
        <v>45583.297592592593</v>
      </c>
      <c r="C1368" t="str">
        <f t="shared" si="277"/>
        <v>41</v>
      </c>
      <c r="D1368" t="s">
        <v>120</v>
      </c>
      <c r="E1368" t="s">
        <v>116</v>
      </c>
      <c r="F1368" t="s">
        <v>117</v>
      </c>
      <c r="H1368" t="s">
        <v>391</v>
      </c>
      <c r="I1368" t="str">
        <f>"101570001112048"</f>
        <v>101570001112048</v>
      </c>
      <c r="J1368" t="str">
        <f t="shared" si="278"/>
        <v>128432</v>
      </c>
      <c r="K1368" t="s">
        <v>21</v>
      </c>
      <c r="L1368">
        <v>49</v>
      </c>
      <c r="M1368">
        <v>49</v>
      </c>
      <c r="N1368">
        <v>0</v>
      </c>
      <c r="O1368" s="1">
        <v>45583.297592592593</v>
      </c>
      <c r="P1368" t="s">
        <v>392</v>
      </c>
    </row>
    <row r="1369" spans="1:16" x14ac:dyDescent="0.3">
      <c r="A1369" t="s">
        <v>25</v>
      </c>
      <c r="B1369" s="1">
        <v>45583.297581018516</v>
      </c>
      <c r="C1369" t="str">
        <f t="shared" si="277"/>
        <v>41</v>
      </c>
      <c r="D1369" t="s">
        <v>120</v>
      </c>
      <c r="E1369" t="s">
        <v>116</v>
      </c>
      <c r="F1369" t="s">
        <v>117</v>
      </c>
      <c r="H1369" t="s">
        <v>391</v>
      </c>
      <c r="I1369" t="str">
        <f>"101570001109372"</f>
        <v>101570001109372</v>
      </c>
      <c r="J1369" t="str">
        <f t="shared" si="278"/>
        <v>128432</v>
      </c>
      <c r="K1369" t="s">
        <v>21</v>
      </c>
      <c r="L1369">
        <v>49</v>
      </c>
      <c r="M1369">
        <v>49</v>
      </c>
      <c r="N1369">
        <v>0</v>
      </c>
      <c r="O1369" s="1">
        <v>45583.297581018516</v>
      </c>
      <c r="P1369" t="s">
        <v>392</v>
      </c>
    </row>
    <row r="1370" spans="1:16" x14ac:dyDescent="0.3">
      <c r="A1370" t="s">
        <v>25</v>
      </c>
      <c r="B1370" s="1">
        <v>45583.297581018516</v>
      </c>
      <c r="C1370" t="str">
        <f t="shared" si="277"/>
        <v>41</v>
      </c>
      <c r="D1370" t="s">
        <v>120</v>
      </c>
      <c r="E1370" t="s">
        <v>116</v>
      </c>
      <c r="F1370" t="s">
        <v>117</v>
      </c>
      <c r="H1370" t="s">
        <v>391</v>
      </c>
      <c r="I1370" t="str">
        <f>"101570001109371"</f>
        <v>101570001109371</v>
      </c>
      <c r="J1370" t="str">
        <f t="shared" si="278"/>
        <v>128432</v>
      </c>
      <c r="K1370" t="s">
        <v>21</v>
      </c>
      <c r="L1370">
        <v>49</v>
      </c>
      <c r="M1370">
        <v>49</v>
      </c>
      <c r="N1370">
        <v>0</v>
      </c>
      <c r="O1370" s="1">
        <v>45583.297581018516</v>
      </c>
      <c r="P1370" t="s">
        <v>392</v>
      </c>
    </row>
    <row r="1371" spans="1:16" x14ac:dyDescent="0.3">
      <c r="A1371" t="s">
        <v>25</v>
      </c>
      <c r="B1371" s="1">
        <v>45583.297581018516</v>
      </c>
      <c r="C1371" t="str">
        <f t="shared" si="277"/>
        <v>41</v>
      </c>
      <c r="D1371" t="s">
        <v>120</v>
      </c>
      <c r="E1371" t="s">
        <v>116</v>
      </c>
      <c r="F1371" t="s">
        <v>117</v>
      </c>
      <c r="H1371" t="s">
        <v>391</v>
      </c>
      <c r="I1371" t="str">
        <f>"101570001109362"</f>
        <v>101570001109362</v>
      </c>
      <c r="J1371" t="str">
        <f t="shared" si="278"/>
        <v>128432</v>
      </c>
      <c r="K1371" t="s">
        <v>21</v>
      </c>
      <c r="L1371">
        <v>49</v>
      </c>
      <c r="M1371">
        <v>49</v>
      </c>
      <c r="N1371">
        <v>0</v>
      </c>
      <c r="O1371" s="1">
        <v>45583.297581018516</v>
      </c>
      <c r="P1371" t="s">
        <v>392</v>
      </c>
    </row>
    <row r="1372" spans="1:16" x14ac:dyDescent="0.3">
      <c r="A1372" t="s">
        <v>25</v>
      </c>
      <c r="B1372" s="1">
        <v>45583.316516203704</v>
      </c>
      <c r="C1372" t="str">
        <f>"38"</f>
        <v>38</v>
      </c>
      <c r="D1372" t="s">
        <v>115</v>
      </c>
      <c r="E1372" t="s">
        <v>116</v>
      </c>
      <c r="F1372" t="s">
        <v>117</v>
      </c>
      <c r="H1372" t="s">
        <v>393</v>
      </c>
      <c r="L1372">
        <v>0</v>
      </c>
      <c r="M1372">
        <v>0</v>
      </c>
      <c r="N1372">
        <v>0</v>
      </c>
      <c r="O1372" s="1">
        <v>45583.316516203704</v>
      </c>
      <c r="P1372" t="s">
        <v>138</v>
      </c>
    </row>
    <row r="1373" spans="1:16" x14ac:dyDescent="0.3">
      <c r="A1373" t="s">
        <v>25</v>
      </c>
      <c r="B1373" s="1">
        <v>45583.316516203704</v>
      </c>
      <c r="C1373" t="str">
        <f t="shared" ref="C1373:C1379" si="279">"41"</f>
        <v>41</v>
      </c>
      <c r="D1373" t="s">
        <v>120</v>
      </c>
      <c r="E1373" t="s">
        <v>116</v>
      </c>
      <c r="F1373" t="s">
        <v>117</v>
      </c>
      <c r="H1373" t="s">
        <v>393</v>
      </c>
      <c r="I1373" t="str">
        <f>"101050002023222"</f>
        <v>101050002023222</v>
      </c>
      <c r="J1373" t="str">
        <f t="shared" ref="J1373:J1379" si="280">"127923"</f>
        <v>127923</v>
      </c>
      <c r="K1373" t="s">
        <v>9</v>
      </c>
      <c r="L1373">
        <v>91</v>
      </c>
      <c r="M1373">
        <v>91</v>
      </c>
      <c r="N1373">
        <v>0</v>
      </c>
      <c r="O1373" s="1">
        <v>45583.316516203704</v>
      </c>
      <c r="P1373" t="s">
        <v>138</v>
      </c>
    </row>
    <row r="1374" spans="1:16" x14ac:dyDescent="0.3">
      <c r="A1374" t="s">
        <v>25</v>
      </c>
      <c r="B1374" s="1">
        <v>45583.316516203704</v>
      </c>
      <c r="C1374" t="str">
        <f t="shared" si="279"/>
        <v>41</v>
      </c>
      <c r="D1374" t="s">
        <v>120</v>
      </c>
      <c r="E1374" t="s">
        <v>116</v>
      </c>
      <c r="F1374" t="s">
        <v>117</v>
      </c>
      <c r="H1374" t="s">
        <v>393</v>
      </c>
      <c r="I1374" t="str">
        <f>"101050002025067"</f>
        <v>101050002025067</v>
      </c>
      <c r="J1374" t="str">
        <f t="shared" si="280"/>
        <v>127923</v>
      </c>
      <c r="K1374" t="s">
        <v>9</v>
      </c>
      <c r="L1374">
        <v>91</v>
      </c>
      <c r="M1374">
        <v>91</v>
      </c>
      <c r="N1374">
        <v>0</v>
      </c>
      <c r="O1374" s="1">
        <v>45583.316516203704</v>
      </c>
      <c r="P1374" t="s">
        <v>138</v>
      </c>
    </row>
    <row r="1375" spans="1:16" x14ac:dyDescent="0.3">
      <c r="A1375" t="s">
        <v>25</v>
      </c>
      <c r="B1375" s="1">
        <v>45583.316516203704</v>
      </c>
      <c r="C1375" t="str">
        <f t="shared" si="279"/>
        <v>41</v>
      </c>
      <c r="D1375" t="s">
        <v>120</v>
      </c>
      <c r="E1375" t="s">
        <v>116</v>
      </c>
      <c r="F1375" t="s">
        <v>117</v>
      </c>
      <c r="H1375" t="s">
        <v>393</v>
      </c>
      <c r="I1375" t="str">
        <f>"101050002023367"</f>
        <v>101050002023367</v>
      </c>
      <c r="J1375" t="str">
        <f t="shared" si="280"/>
        <v>127923</v>
      </c>
      <c r="K1375" t="s">
        <v>9</v>
      </c>
      <c r="L1375">
        <v>91</v>
      </c>
      <c r="M1375">
        <v>91</v>
      </c>
      <c r="N1375">
        <v>0</v>
      </c>
      <c r="O1375" s="1">
        <v>45583.316516203704</v>
      </c>
      <c r="P1375" t="s">
        <v>138</v>
      </c>
    </row>
    <row r="1376" spans="1:16" x14ac:dyDescent="0.3">
      <c r="A1376" t="s">
        <v>25</v>
      </c>
      <c r="B1376" s="1">
        <v>45583.316516203704</v>
      </c>
      <c r="C1376" t="str">
        <f t="shared" si="279"/>
        <v>41</v>
      </c>
      <c r="D1376" t="s">
        <v>120</v>
      </c>
      <c r="E1376" t="s">
        <v>116</v>
      </c>
      <c r="F1376" t="s">
        <v>117</v>
      </c>
      <c r="H1376" t="s">
        <v>393</v>
      </c>
      <c r="I1376" t="str">
        <f>"101050002023225"</f>
        <v>101050002023225</v>
      </c>
      <c r="J1376" t="str">
        <f t="shared" si="280"/>
        <v>127923</v>
      </c>
      <c r="K1376" t="s">
        <v>9</v>
      </c>
      <c r="L1376">
        <v>91</v>
      </c>
      <c r="M1376">
        <v>91</v>
      </c>
      <c r="N1376">
        <v>0</v>
      </c>
      <c r="O1376" s="1">
        <v>45583.316516203704</v>
      </c>
      <c r="P1376" t="s">
        <v>138</v>
      </c>
    </row>
    <row r="1377" spans="1:16" x14ac:dyDescent="0.3">
      <c r="A1377" t="s">
        <v>25</v>
      </c>
      <c r="B1377" s="1">
        <v>45583.316516203704</v>
      </c>
      <c r="C1377" t="str">
        <f t="shared" si="279"/>
        <v>41</v>
      </c>
      <c r="D1377" t="s">
        <v>120</v>
      </c>
      <c r="E1377" t="s">
        <v>116</v>
      </c>
      <c r="F1377" t="s">
        <v>117</v>
      </c>
      <c r="H1377" t="s">
        <v>393</v>
      </c>
      <c r="I1377" t="str">
        <f>"101050002023368"</f>
        <v>101050002023368</v>
      </c>
      <c r="J1377" t="str">
        <f t="shared" si="280"/>
        <v>127923</v>
      </c>
      <c r="K1377" t="s">
        <v>9</v>
      </c>
      <c r="L1377">
        <v>91</v>
      </c>
      <c r="M1377">
        <v>91</v>
      </c>
      <c r="N1377">
        <v>0</v>
      </c>
      <c r="O1377" s="1">
        <v>45583.316516203704</v>
      </c>
      <c r="P1377" t="s">
        <v>138</v>
      </c>
    </row>
    <row r="1378" spans="1:16" x14ac:dyDescent="0.3">
      <c r="A1378" t="s">
        <v>25</v>
      </c>
      <c r="B1378" s="1">
        <v>45583.316504629627</v>
      </c>
      <c r="C1378" t="str">
        <f t="shared" si="279"/>
        <v>41</v>
      </c>
      <c r="D1378" t="s">
        <v>120</v>
      </c>
      <c r="E1378" t="s">
        <v>116</v>
      </c>
      <c r="F1378" t="s">
        <v>117</v>
      </c>
      <c r="H1378" t="s">
        <v>393</v>
      </c>
      <c r="I1378" t="str">
        <f>"101050002022944"</f>
        <v>101050002022944</v>
      </c>
      <c r="J1378" t="str">
        <f t="shared" si="280"/>
        <v>127923</v>
      </c>
      <c r="K1378" t="s">
        <v>9</v>
      </c>
      <c r="L1378">
        <v>91</v>
      </c>
      <c r="M1378">
        <v>91</v>
      </c>
      <c r="N1378">
        <v>0</v>
      </c>
      <c r="O1378" s="1">
        <v>45583.316504629627</v>
      </c>
      <c r="P1378" t="s">
        <v>138</v>
      </c>
    </row>
    <row r="1379" spans="1:16" x14ac:dyDescent="0.3">
      <c r="A1379" t="s">
        <v>25</v>
      </c>
      <c r="B1379" s="1">
        <v>45583.316504629627</v>
      </c>
      <c r="C1379" t="str">
        <f t="shared" si="279"/>
        <v>41</v>
      </c>
      <c r="D1379" t="s">
        <v>120</v>
      </c>
      <c r="E1379" t="s">
        <v>116</v>
      </c>
      <c r="F1379" t="s">
        <v>117</v>
      </c>
      <c r="H1379" t="s">
        <v>393</v>
      </c>
      <c r="I1379" t="str">
        <f>"101050002022963"</f>
        <v>101050002022963</v>
      </c>
      <c r="J1379" t="str">
        <f t="shared" si="280"/>
        <v>127923</v>
      </c>
      <c r="K1379" t="s">
        <v>9</v>
      </c>
      <c r="L1379">
        <v>91</v>
      </c>
      <c r="M1379">
        <v>91</v>
      </c>
      <c r="N1379">
        <v>0</v>
      </c>
      <c r="O1379" s="1">
        <v>45583.316504629627</v>
      </c>
      <c r="P1379" t="s">
        <v>138</v>
      </c>
    </row>
    <row r="1380" spans="1:16" x14ac:dyDescent="0.3">
      <c r="A1380" t="s">
        <v>25</v>
      </c>
      <c r="B1380" s="1">
        <v>45583.315486111111</v>
      </c>
      <c r="C1380" t="str">
        <f>"38"</f>
        <v>38</v>
      </c>
      <c r="D1380" t="s">
        <v>115</v>
      </c>
      <c r="E1380" t="s">
        <v>116</v>
      </c>
      <c r="F1380" t="s">
        <v>117</v>
      </c>
      <c r="H1380" t="s">
        <v>394</v>
      </c>
      <c r="L1380">
        <v>0</v>
      </c>
      <c r="M1380">
        <v>0</v>
      </c>
      <c r="N1380">
        <v>0</v>
      </c>
      <c r="O1380" s="1">
        <v>45583.315486111111</v>
      </c>
      <c r="P1380" t="s">
        <v>138</v>
      </c>
    </row>
    <row r="1381" spans="1:16" x14ac:dyDescent="0.3">
      <c r="A1381" t="s">
        <v>25</v>
      </c>
      <c r="B1381" s="1">
        <v>45583.315486111111</v>
      </c>
      <c r="C1381" t="str">
        <f t="shared" ref="C1381:C1387" si="281">"41"</f>
        <v>41</v>
      </c>
      <c r="D1381" t="s">
        <v>120</v>
      </c>
      <c r="E1381" t="s">
        <v>116</v>
      </c>
      <c r="F1381" t="s">
        <v>117</v>
      </c>
      <c r="H1381" t="s">
        <v>394</v>
      </c>
      <c r="I1381" t="str">
        <f>"101050001977823"</f>
        <v>101050001977823</v>
      </c>
      <c r="J1381" t="str">
        <f t="shared" ref="J1381:J1387" si="282">"514862"</f>
        <v>514862</v>
      </c>
      <c r="K1381" t="s">
        <v>91</v>
      </c>
      <c r="L1381">
        <v>49</v>
      </c>
      <c r="M1381">
        <v>49</v>
      </c>
      <c r="N1381">
        <v>0</v>
      </c>
      <c r="O1381" s="1">
        <v>45583.315486111111</v>
      </c>
      <c r="P1381" t="s">
        <v>138</v>
      </c>
    </row>
    <row r="1382" spans="1:16" x14ac:dyDescent="0.3">
      <c r="A1382" t="s">
        <v>25</v>
      </c>
      <c r="B1382" s="1">
        <v>45583.315486111111</v>
      </c>
      <c r="C1382" t="str">
        <f t="shared" si="281"/>
        <v>41</v>
      </c>
      <c r="D1382" t="s">
        <v>120</v>
      </c>
      <c r="E1382" t="s">
        <v>116</v>
      </c>
      <c r="F1382" t="s">
        <v>117</v>
      </c>
      <c r="H1382" t="s">
        <v>394</v>
      </c>
      <c r="I1382" t="str">
        <f>"101050001977828"</f>
        <v>101050001977828</v>
      </c>
      <c r="J1382" t="str">
        <f t="shared" si="282"/>
        <v>514862</v>
      </c>
      <c r="K1382" t="s">
        <v>91</v>
      </c>
      <c r="L1382">
        <v>49</v>
      </c>
      <c r="M1382">
        <v>49</v>
      </c>
      <c r="N1382">
        <v>0</v>
      </c>
      <c r="O1382" s="1">
        <v>45583.315486111111</v>
      </c>
      <c r="P1382" t="s">
        <v>138</v>
      </c>
    </row>
    <row r="1383" spans="1:16" x14ac:dyDescent="0.3">
      <c r="A1383" t="s">
        <v>25</v>
      </c>
      <c r="B1383" s="1">
        <v>45583.315474537034</v>
      </c>
      <c r="C1383" t="str">
        <f t="shared" si="281"/>
        <v>41</v>
      </c>
      <c r="D1383" t="s">
        <v>120</v>
      </c>
      <c r="E1383" t="s">
        <v>116</v>
      </c>
      <c r="F1383" t="s">
        <v>117</v>
      </c>
      <c r="H1383" t="s">
        <v>394</v>
      </c>
      <c r="I1383" t="str">
        <f>"101050001977752"</f>
        <v>101050001977752</v>
      </c>
      <c r="J1383" t="str">
        <f t="shared" si="282"/>
        <v>514862</v>
      </c>
      <c r="K1383" t="s">
        <v>91</v>
      </c>
      <c r="L1383">
        <v>49</v>
      </c>
      <c r="M1383">
        <v>49</v>
      </c>
      <c r="N1383">
        <v>0</v>
      </c>
      <c r="O1383" s="1">
        <v>45583.315474537034</v>
      </c>
      <c r="P1383" t="s">
        <v>138</v>
      </c>
    </row>
    <row r="1384" spans="1:16" x14ac:dyDescent="0.3">
      <c r="A1384" t="s">
        <v>25</v>
      </c>
      <c r="B1384" s="1">
        <v>45583.315474537034</v>
      </c>
      <c r="C1384" t="str">
        <f t="shared" si="281"/>
        <v>41</v>
      </c>
      <c r="D1384" t="s">
        <v>120</v>
      </c>
      <c r="E1384" t="s">
        <v>116</v>
      </c>
      <c r="F1384" t="s">
        <v>117</v>
      </c>
      <c r="H1384" t="s">
        <v>394</v>
      </c>
      <c r="I1384" t="str">
        <f>"101050001977751"</f>
        <v>101050001977751</v>
      </c>
      <c r="J1384" t="str">
        <f t="shared" si="282"/>
        <v>514862</v>
      </c>
      <c r="K1384" t="s">
        <v>91</v>
      </c>
      <c r="L1384">
        <v>49</v>
      </c>
      <c r="M1384">
        <v>49</v>
      </c>
      <c r="N1384">
        <v>0</v>
      </c>
      <c r="O1384" s="1">
        <v>45583.315474537034</v>
      </c>
      <c r="P1384" t="s">
        <v>138</v>
      </c>
    </row>
    <row r="1385" spans="1:16" x14ac:dyDescent="0.3">
      <c r="A1385" t="s">
        <v>25</v>
      </c>
      <c r="B1385" s="1">
        <v>45583.315474537034</v>
      </c>
      <c r="C1385" t="str">
        <f t="shared" si="281"/>
        <v>41</v>
      </c>
      <c r="D1385" t="s">
        <v>120</v>
      </c>
      <c r="E1385" t="s">
        <v>116</v>
      </c>
      <c r="F1385" t="s">
        <v>117</v>
      </c>
      <c r="H1385" t="s">
        <v>394</v>
      </c>
      <c r="I1385" t="str">
        <f>"101050001977825"</f>
        <v>101050001977825</v>
      </c>
      <c r="J1385" t="str">
        <f t="shared" si="282"/>
        <v>514862</v>
      </c>
      <c r="K1385" t="s">
        <v>91</v>
      </c>
      <c r="L1385">
        <v>49</v>
      </c>
      <c r="M1385">
        <v>49</v>
      </c>
      <c r="N1385">
        <v>0</v>
      </c>
      <c r="O1385" s="1">
        <v>45583.315474537034</v>
      </c>
      <c r="P1385" t="s">
        <v>138</v>
      </c>
    </row>
    <row r="1386" spans="1:16" x14ac:dyDescent="0.3">
      <c r="A1386" t="s">
        <v>25</v>
      </c>
      <c r="B1386" s="1">
        <v>45583.315474537034</v>
      </c>
      <c r="C1386" t="str">
        <f t="shared" si="281"/>
        <v>41</v>
      </c>
      <c r="D1386" t="s">
        <v>120</v>
      </c>
      <c r="E1386" t="s">
        <v>116</v>
      </c>
      <c r="F1386" t="s">
        <v>117</v>
      </c>
      <c r="H1386" t="s">
        <v>394</v>
      </c>
      <c r="I1386" t="str">
        <f>"101050001977754"</f>
        <v>101050001977754</v>
      </c>
      <c r="J1386" t="str">
        <f t="shared" si="282"/>
        <v>514862</v>
      </c>
      <c r="K1386" t="s">
        <v>91</v>
      </c>
      <c r="L1386">
        <v>49</v>
      </c>
      <c r="M1386">
        <v>49</v>
      </c>
      <c r="N1386">
        <v>0</v>
      </c>
      <c r="O1386" s="1">
        <v>45583.315474537034</v>
      </c>
      <c r="P1386" t="s">
        <v>138</v>
      </c>
    </row>
    <row r="1387" spans="1:16" x14ac:dyDescent="0.3">
      <c r="A1387" t="s">
        <v>25</v>
      </c>
      <c r="B1387" s="1">
        <v>45583.315474537034</v>
      </c>
      <c r="C1387" t="str">
        <f t="shared" si="281"/>
        <v>41</v>
      </c>
      <c r="D1387" t="s">
        <v>120</v>
      </c>
      <c r="E1387" t="s">
        <v>116</v>
      </c>
      <c r="F1387" t="s">
        <v>117</v>
      </c>
      <c r="H1387" t="s">
        <v>394</v>
      </c>
      <c r="I1387" t="str">
        <f>"101050001977757"</f>
        <v>101050001977757</v>
      </c>
      <c r="J1387" t="str">
        <f t="shared" si="282"/>
        <v>514862</v>
      </c>
      <c r="K1387" t="s">
        <v>91</v>
      </c>
      <c r="L1387">
        <v>49</v>
      </c>
      <c r="M1387">
        <v>49</v>
      </c>
      <c r="N1387">
        <v>0</v>
      </c>
      <c r="O1387" s="1">
        <v>45583.315474537034</v>
      </c>
      <c r="P1387" t="s">
        <v>138</v>
      </c>
    </row>
    <row r="1388" spans="1:16" x14ac:dyDescent="0.3">
      <c r="A1388" t="s">
        <v>25</v>
      </c>
      <c r="B1388" s="1">
        <v>45583.312754629631</v>
      </c>
      <c r="C1388" t="str">
        <f>"38"</f>
        <v>38</v>
      </c>
      <c r="D1388" t="s">
        <v>115</v>
      </c>
      <c r="E1388" t="s">
        <v>116</v>
      </c>
      <c r="F1388" t="s">
        <v>117</v>
      </c>
      <c r="H1388" t="s">
        <v>395</v>
      </c>
      <c r="L1388">
        <v>0</v>
      </c>
      <c r="M1388">
        <v>0</v>
      </c>
      <c r="N1388">
        <v>0</v>
      </c>
      <c r="O1388" s="1">
        <v>45583.312754629631</v>
      </c>
      <c r="P1388" t="s">
        <v>138</v>
      </c>
    </row>
    <row r="1389" spans="1:16" x14ac:dyDescent="0.3">
      <c r="A1389" t="s">
        <v>25</v>
      </c>
      <c r="B1389" s="1">
        <v>45583.312754629631</v>
      </c>
      <c r="C1389" t="str">
        <f>"41"</f>
        <v>41</v>
      </c>
      <c r="D1389" t="s">
        <v>120</v>
      </c>
      <c r="E1389" t="s">
        <v>116</v>
      </c>
      <c r="F1389" t="s">
        <v>117</v>
      </c>
      <c r="H1389" t="s">
        <v>395</v>
      </c>
      <c r="I1389" t="str">
        <f>"101050002006735"</f>
        <v>101050002006735</v>
      </c>
      <c r="J1389" t="str">
        <f>"0800"</f>
        <v>0800</v>
      </c>
      <c r="K1389" t="s">
        <v>26</v>
      </c>
      <c r="L1389">
        <v>49</v>
      </c>
      <c r="M1389">
        <v>49</v>
      </c>
      <c r="N1389">
        <v>0</v>
      </c>
      <c r="O1389" s="1">
        <v>45583.312754629631</v>
      </c>
      <c r="P1389" t="s">
        <v>138</v>
      </c>
    </row>
    <row r="1390" spans="1:16" x14ac:dyDescent="0.3">
      <c r="A1390" t="s">
        <v>25</v>
      </c>
      <c r="B1390" s="1">
        <v>45583.312754629631</v>
      </c>
      <c r="C1390" t="str">
        <f>"41"</f>
        <v>41</v>
      </c>
      <c r="D1390" t="s">
        <v>120</v>
      </c>
      <c r="E1390" t="s">
        <v>116</v>
      </c>
      <c r="F1390" t="s">
        <v>117</v>
      </c>
      <c r="H1390" t="s">
        <v>395</v>
      </c>
      <c r="I1390" t="str">
        <f>"101050002006737"</f>
        <v>101050002006737</v>
      </c>
      <c r="J1390" t="str">
        <f>"0800"</f>
        <v>0800</v>
      </c>
      <c r="K1390" t="s">
        <v>26</v>
      </c>
      <c r="L1390">
        <v>49</v>
      </c>
      <c r="M1390">
        <v>49</v>
      </c>
      <c r="N1390">
        <v>0</v>
      </c>
      <c r="O1390" s="1">
        <v>45583.312754629631</v>
      </c>
      <c r="P1390" t="s">
        <v>138</v>
      </c>
    </row>
    <row r="1391" spans="1:16" x14ac:dyDescent="0.3">
      <c r="A1391" t="s">
        <v>25</v>
      </c>
      <c r="B1391" s="1">
        <v>45583.312754629631</v>
      </c>
      <c r="C1391" t="str">
        <f>"41"</f>
        <v>41</v>
      </c>
      <c r="D1391" t="s">
        <v>120</v>
      </c>
      <c r="E1391" t="s">
        <v>116</v>
      </c>
      <c r="F1391" t="s">
        <v>117</v>
      </c>
      <c r="H1391" t="s">
        <v>395</v>
      </c>
      <c r="I1391" t="str">
        <f>"101050002006863"</f>
        <v>101050002006863</v>
      </c>
      <c r="J1391" t="str">
        <f>"0800"</f>
        <v>0800</v>
      </c>
      <c r="K1391" t="s">
        <v>26</v>
      </c>
      <c r="L1391">
        <v>49</v>
      </c>
      <c r="M1391">
        <v>49</v>
      </c>
      <c r="N1391">
        <v>0</v>
      </c>
      <c r="O1391" s="1">
        <v>45583.312754629631</v>
      </c>
      <c r="P1391" t="s">
        <v>138</v>
      </c>
    </row>
    <row r="1392" spans="1:16" x14ac:dyDescent="0.3">
      <c r="A1392" t="s">
        <v>25</v>
      </c>
      <c r="B1392" s="1">
        <v>45583.312754629631</v>
      </c>
      <c r="C1392" t="str">
        <f>"41"</f>
        <v>41</v>
      </c>
      <c r="D1392" t="s">
        <v>120</v>
      </c>
      <c r="E1392" t="s">
        <v>116</v>
      </c>
      <c r="F1392" t="s">
        <v>117</v>
      </c>
      <c r="H1392" t="s">
        <v>395</v>
      </c>
      <c r="I1392" t="str">
        <f>"101050002007276"</f>
        <v>101050002007276</v>
      </c>
      <c r="J1392" t="str">
        <f>"0800"</f>
        <v>0800</v>
      </c>
      <c r="K1392" t="s">
        <v>26</v>
      </c>
      <c r="L1392">
        <v>49</v>
      </c>
      <c r="M1392">
        <v>49</v>
      </c>
      <c r="N1392">
        <v>0</v>
      </c>
      <c r="O1392" s="1">
        <v>45583.312754629631</v>
      </c>
      <c r="P1392" t="s">
        <v>138</v>
      </c>
    </row>
    <row r="1393" spans="1:16" x14ac:dyDescent="0.3">
      <c r="A1393" t="s">
        <v>25</v>
      </c>
      <c r="B1393" s="1">
        <v>45583.312754629631</v>
      </c>
      <c r="C1393" t="str">
        <f>"41"</f>
        <v>41</v>
      </c>
      <c r="D1393" t="s">
        <v>120</v>
      </c>
      <c r="E1393" t="s">
        <v>116</v>
      </c>
      <c r="F1393" t="s">
        <v>117</v>
      </c>
      <c r="H1393" t="s">
        <v>395</v>
      </c>
      <c r="I1393" t="str">
        <f>"101050002007277"</f>
        <v>101050002007277</v>
      </c>
      <c r="J1393" t="str">
        <f>"0800"</f>
        <v>0800</v>
      </c>
      <c r="K1393" t="s">
        <v>26</v>
      </c>
      <c r="L1393">
        <v>49</v>
      </c>
      <c r="M1393">
        <v>49</v>
      </c>
      <c r="N1393">
        <v>0</v>
      </c>
      <c r="O1393" s="1">
        <v>45583.312754629631</v>
      </c>
      <c r="P1393" t="s">
        <v>138</v>
      </c>
    </row>
    <row r="1394" spans="1:16" x14ac:dyDescent="0.3">
      <c r="A1394" t="s">
        <v>25</v>
      </c>
      <c r="B1394" s="1">
        <v>45583.31177083333</v>
      </c>
      <c r="C1394" t="str">
        <f>"38"</f>
        <v>38</v>
      </c>
      <c r="D1394" t="s">
        <v>115</v>
      </c>
      <c r="E1394" t="s">
        <v>116</v>
      </c>
      <c r="F1394" t="s">
        <v>117</v>
      </c>
      <c r="H1394" t="s">
        <v>396</v>
      </c>
      <c r="L1394">
        <v>0</v>
      </c>
      <c r="M1394">
        <v>0</v>
      </c>
      <c r="N1394">
        <v>0</v>
      </c>
      <c r="O1394" s="1">
        <v>45583.31177083333</v>
      </c>
      <c r="P1394" t="s">
        <v>138</v>
      </c>
    </row>
    <row r="1395" spans="1:16" x14ac:dyDescent="0.3">
      <c r="A1395" t="s">
        <v>25</v>
      </c>
      <c r="B1395" s="1">
        <v>45583.31177083333</v>
      </c>
      <c r="C1395" t="str">
        <f t="shared" ref="C1395:C1401" si="283">"41"</f>
        <v>41</v>
      </c>
      <c r="D1395" t="s">
        <v>120</v>
      </c>
      <c r="E1395" t="s">
        <v>116</v>
      </c>
      <c r="F1395" t="s">
        <v>117</v>
      </c>
      <c r="H1395" t="s">
        <v>396</v>
      </c>
      <c r="I1395" t="str">
        <f>"101050002026553"</f>
        <v>101050002026553</v>
      </c>
      <c r="J1395" t="str">
        <f t="shared" ref="J1395:J1401" si="284">"127802"</f>
        <v>127802</v>
      </c>
      <c r="K1395" t="s">
        <v>6</v>
      </c>
      <c r="L1395">
        <v>91</v>
      </c>
      <c r="M1395">
        <v>91</v>
      </c>
      <c r="N1395">
        <v>0</v>
      </c>
      <c r="O1395" s="1">
        <v>45583.31177083333</v>
      </c>
      <c r="P1395" t="s">
        <v>138</v>
      </c>
    </row>
    <row r="1396" spans="1:16" x14ac:dyDescent="0.3">
      <c r="A1396" t="s">
        <v>25</v>
      </c>
      <c r="B1396" s="1">
        <v>45583.31177083333</v>
      </c>
      <c r="C1396" t="str">
        <f t="shared" si="283"/>
        <v>41</v>
      </c>
      <c r="D1396" t="s">
        <v>120</v>
      </c>
      <c r="E1396" t="s">
        <v>116</v>
      </c>
      <c r="F1396" t="s">
        <v>117</v>
      </c>
      <c r="H1396" t="s">
        <v>396</v>
      </c>
      <c r="I1396" t="str">
        <f>"101050002026552"</f>
        <v>101050002026552</v>
      </c>
      <c r="J1396" t="str">
        <f t="shared" si="284"/>
        <v>127802</v>
      </c>
      <c r="K1396" t="s">
        <v>6</v>
      </c>
      <c r="L1396">
        <v>91</v>
      </c>
      <c r="M1396">
        <v>91</v>
      </c>
      <c r="N1396">
        <v>0</v>
      </c>
      <c r="O1396" s="1">
        <v>45583.31177083333</v>
      </c>
      <c r="P1396" t="s">
        <v>138</v>
      </c>
    </row>
    <row r="1397" spans="1:16" x14ac:dyDescent="0.3">
      <c r="A1397" t="s">
        <v>25</v>
      </c>
      <c r="B1397" s="1">
        <v>45583.31177083333</v>
      </c>
      <c r="C1397" t="str">
        <f t="shared" si="283"/>
        <v>41</v>
      </c>
      <c r="D1397" t="s">
        <v>120</v>
      </c>
      <c r="E1397" t="s">
        <v>116</v>
      </c>
      <c r="F1397" t="s">
        <v>117</v>
      </c>
      <c r="H1397" t="s">
        <v>396</v>
      </c>
      <c r="I1397" t="str">
        <f>"101050002026399"</f>
        <v>101050002026399</v>
      </c>
      <c r="J1397" t="str">
        <f t="shared" si="284"/>
        <v>127802</v>
      </c>
      <c r="K1397" t="s">
        <v>6</v>
      </c>
      <c r="L1397">
        <v>91</v>
      </c>
      <c r="M1397">
        <v>91</v>
      </c>
      <c r="N1397">
        <v>0</v>
      </c>
      <c r="O1397" s="1">
        <v>45583.31177083333</v>
      </c>
      <c r="P1397" t="s">
        <v>138</v>
      </c>
    </row>
    <row r="1398" spans="1:16" x14ac:dyDescent="0.3">
      <c r="A1398" t="s">
        <v>25</v>
      </c>
      <c r="B1398" s="1">
        <v>45583.311759259261</v>
      </c>
      <c r="C1398" t="str">
        <f t="shared" si="283"/>
        <v>41</v>
      </c>
      <c r="D1398" t="s">
        <v>120</v>
      </c>
      <c r="E1398" t="s">
        <v>116</v>
      </c>
      <c r="F1398" t="s">
        <v>117</v>
      </c>
      <c r="H1398" t="s">
        <v>396</v>
      </c>
      <c r="I1398" t="str">
        <f>"101050002026429"</f>
        <v>101050002026429</v>
      </c>
      <c r="J1398" t="str">
        <f t="shared" si="284"/>
        <v>127802</v>
      </c>
      <c r="K1398" t="s">
        <v>6</v>
      </c>
      <c r="L1398">
        <v>91</v>
      </c>
      <c r="M1398">
        <v>91</v>
      </c>
      <c r="N1398">
        <v>0</v>
      </c>
      <c r="O1398" s="1">
        <v>45583.311759259261</v>
      </c>
      <c r="P1398" t="s">
        <v>138</v>
      </c>
    </row>
    <row r="1399" spans="1:16" x14ac:dyDescent="0.3">
      <c r="A1399" t="s">
        <v>25</v>
      </c>
      <c r="B1399" s="1">
        <v>45583.311759259261</v>
      </c>
      <c r="C1399" t="str">
        <f t="shared" si="283"/>
        <v>41</v>
      </c>
      <c r="D1399" t="s">
        <v>120</v>
      </c>
      <c r="E1399" t="s">
        <v>116</v>
      </c>
      <c r="F1399" t="s">
        <v>117</v>
      </c>
      <c r="H1399" t="s">
        <v>396</v>
      </c>
      <c r="I1399" t="str">
        <f>"101050002026558"</f>
        <v>101050002026558</v>
      </c>
      <c r="J1399" t="str">
        <f t="shared" si="284"/>
        <v>127802</v>
      </c>
      <c r="K1399" t="s">
        <v>6</v>
      </c>
      <c r="L1399">
        <v>91</v>
      </c>
      <c r="M1399">
        <v>91</v>
      </c>
      <c r="N1399">
        <v>0</v>
      </c>
      <c r="O1399" s="1">
        <v>45583.311759259261</v>
      </c>
      <c r="P1399" t="s">
        <v>138</v>
      </c>
    </row>
    <row r="1400" spans="1:16" x14ac:dyDescent="0.3">
      <c r="A1400" t="s">
        <v>25</v>
      </c>
      <c r="B1400" s="1">
        <v>45583.311759259261</v>
      </c>
      <c r="C1400" t="str">
        <f t="shared" si="283"/>
        <v>41</v>
      </c>
      <c r="D1400" t="s">
        <v>120</v>
      </c>
      <c r="E1400" t="s">
        <v>116</v>
      </c>
      <c r="F1400" t="s">
        <v>117</v>
      </c>
      <c r="H1400" t="s">
        <v>396</v>
      </c>
      <c r="I1400" t="str">
        <f>"101050002016635"</f>
        <v>101050002016635</v>
      </c>
      <c r="J1400" t="str">
        <f t="shared" si="284"/>
        <v>127802</v>
      </c>
      <c r="K1400" t="s">
        <v>6</v>
      </c>
      <c r="L1400">
        <v>91</v>
      </c>
      <c r="M1400">
        <v>91</v>
      </c>
      <c r="N1400">
        <v>0</v>
      </c>
      <c r="O1400" s="1">
        <v>45583.311759259261</v>
      </c>
      <c r="P1400" t="s">
        <v>138</v>
      </c>
    </row>
    <row r="1401" spans="1:16" x14ac:dyDescent="0.3">
      <c r="A1401" t="s">
        <v>25</v>
      </c>
      <c r="B1401" s="1">
        <v>45583.311759259261</v>
      </c>
      <c r="C1401" t="str">
        <f t="shared" si="283"/>
        <v>41</v>
      </c>
      <c r="D1401" t="s">
        <v>120</v>
      </c>
      <c r="E1401" t="s">
        <v>116</v>
      </c>
      <c r="F1401" t="s">
        <v>117</v>
      </c>
      <c r="H1401" t="s">
        <v>396</v>
      </c>
      <c r="I1401" t="str">
        <f>"101050002015720"</f>
        <v>101050002015720</v>
      </c>
      <c r="J1401" t="str">
        <f t="shared" si="284"/>
        <v>127802</v>
      </c>
      <c r="K1401" t="s">
        <v>6</v>
      </c>
      <c r="L1401">
        <v>91</v>
      </c>
      <c r="M1401">
        <v>91</v>
      </c>
      <c r="N1401">
        <v>0</v>
      </c>
      <c r="O1401" s="1">
        <v>45583.311759259261</v>
      </c>
      <c r="P1401" t="s">
        <v>138</v>
      </c>
    </row>
    <row r="1402" spans="1:16" x14ac:dyDescent="0.3">
      <c r="A1402" t="s">
        <v>25</v>
      </c>
      <c r="B1402" s="1">
        <v>45583.307013888887</v>
      </c>
      <c r="C1402" t="str">
        <f>"38"</f>
        <v>38</v>
      </c>
      <c r="D1402" t="s">
        <v>115</v>
      </c>
      <c r="E1402" t="s">
        <v>116</v>
      </c>
      <c r="F1402" t="s">
        <v>117</v>
      </c>
      <c r="H1402" t="s">
        <v>397</v>
      </c>
      <c r="L1402">
        <v>0</v>
      </c>
      <c r="M1402">
        <v>0</v>
      </c>
      <c r="N1402">
        <v>0</v>
      </c>
      <c r="O1402" s="1">
        <v>45583.307013888887</v>
      </c>
      <c r="P1402" t="s">
        <v>138</v>
      </c>
    </row>
    <row r="1403" spans="1:16" x14ac:dyDescent="0.3">
      <c r="A1403" t="s">
        <v>25</v>
      </c>
      <c r="B1403" s="1">
        <v>45583.307013888887</v>
      </c>
      <c r="C1403" t="str">
        <f>"43"</f>
        <v>43</v>
      </c>
      <c r="D1403" t="s">
        <v>231</v>
      </c>
      <c r="E1403" t="s">
        <v>116</v>
      </c>
      <c r="F1403" t="s">
        <v>117</v>
      </c>
      <c r="H1403" t="s">
        <v>397</v>
      </c>
      <c r="I1403" t="str">
        <f>"101050002024681"</f>
        <v>101050002024681</v>
      </c>
      <c r="J1403" t="str">
        <f t="shared" ref="J1403:J1408" si="285">"127575"</f>
        <v>127575</v>
      </c>
      <c r="K1403" t="s">
        <v>8</v>
      </c>
      <c r="L1403">
        <v>91</v>
      </c>
      <c r="M1403">
        <v>91</v>
      </c>
      <c r="N1403">
        <v>0</v>
      </c>
      <c r="O1403" s="1">
        <v>45583.307013888887</v>
      </c>
      <c r="P1403" t="s">
        <v>138</v>
      </c>
    </row>
    <row r="1404" spans="1:16" x14ac:dyDescent="0.3">
      <c r="A1404" t="s">
        <v>25</v>
      </c>
      <c r="B1404" s="1">
        <v>45583.307013888887</v>
      </c>
      <c r="C1404" t="str">
        <f>"41"</f>
        <v>41</v>
      </c>
      <c r="D1404" t="s">
        <v>120</v>
      </c>
      <c r="E1404" t="s">
        <v>116</v>
      </c>
      <c r="F1404" t="s">
        <v>117</v>
      </c>
      <c r="H1404" t="s">
        <v>397</v>
      </c>
      <c r="I1404" t="str">
        <f>"101050002023988"</f>
        <v>101050002023988</v>
      </c>
      <c r="J1404" t="str">
        <f t="shared" si="285"/>
        <v>127575</v>
      </c>
      <c r="K1404" t="s">
        <v>8</v>
      </c>
      <c r="L1404">
        <v>91</v>
      </c>
      <c r="M1404">
        <v>91</v>
      </c>
      <c r="N1404">
        <v>0</v>
      </c>
      <c r="O1404" s="1">
        <v>45583.307013888887</v>
      </c>
      <c r="P1404" t="s">
        <v>138</v>
      </c>
    </row>
    <row r="1405" spans="1:16" x14ac:dyDescent="0.3">
      <c r="A1405" t="s">
        <v>25</v>
      </c>
      <c r="B1405" s="1">
        <v>45583.307013888887</v>
      </c>
      <c r="C1405" t="str">
        <f>"41"</f>
        <v>41</v>
      </c>
      <c r="D1405" t="s">
        <v>120</v>
      </c>
      <c r="E1405" t="s">
        <v>116</v>
      </c>
      <c r="F1405" t="s">
        <v>117</v>
      </c>
      <c r="H1405" t="s">
        <v>397</v>
      </c>
      <c r="I1405" t="str">
        <f>"101050002026935"</f>
        <v>101050002026935</v>
      </c>
      <c r="J1405" t="str">
        <f t="shared" si="285"/>
        <v>127575</v>
      </c>
      <c r="K1405" t="s">
        <v>8</v>
      </c>
      <c r="L1405">
        <v>91</v>
      </c>
      <c r="M1405">
        <v>91</v>
      </c>
      <c r="N1405">
        <v>0</v>
      </c>
      <c r="O1405" s="1">
        <v>45583.307013888887</v>
      </c>
      <c r="P1405" t="s">
        <v>138</v>
      </c>
    </row>
    <row r="1406" spans="1:16" x14ac:dyDescent="0.3">
      <c r="A1406" t="s">
        <v>25</v>
      </c>
      <c r="B1406" s="1">
        <v>45583.307013888887</v>
      </c>
      <c r="C1406" t="str">
        <f>"41"</f>
        <v>41</v>
      </c>
      <c r="D1406" t="s">
        <v>120</v>
      </c>
      <c r="E1406" t="s">
        <v>116</v>
      </c>
      <c r="F1406" t="s">
        <v>117</v>
      </c>
      <c r="H1406" t="s">
        <v>397</v>
      </c>
      <c r="I1406" t="str">
        <f>"101050002024248"</f>
        <v>101050002024248</v>
      </c>
      <c r="J1406" t="str">
        <f t="shared" si="285"/>
        <v>127575</v>
      </c>
      <c r="K1406" t="s">
        <v>8</v>
      </c>
      <c r="L1406">
        <v>91</v>
      </c>
      <c r="M1406">
        <v>91</v>
      </c>
      <c r="N1406">
        <v>0</v>
      </c>
      <c r="O1406" s="1">
        <v>45583.307013888887</v>
      </c>
      <c r="P1406" t="s">
        <v>138</v>
      </c>
    </row>
    <row r="1407" spans="1:16" x14ac:dyDescent="0.3">
      <c r="A1407" t="s">
        <v>25</v>
      </c>
      <c r="B1407" s="1">
        <v>45583.307013888887</v>
      </c>
      <c r="C1407" t="str">
        <f>"41"</f>
        <v>41</v>
      </c>
      <c r="D1407" t="s">
        <v>120</v>
      </c>
      <c r="E1407" t="s">
        <v>116</v>
      </c>
      <c r="F1407" t="s">
        <v>117</v>
      </c>
      <c r="H1407" t="s">
        <v>397</v>
      </c>
      <c r="I1407" t="str">
        <f>"101050002024443"</f>
        <v>101050002024443</v>
      </c>
      <c r="J1407" t="str">
        <f t="shared" si="285"/>
        <v>127575</v>
      </c>
      <c r="K1407" t="s">
        <v>8</v>
      </c>
      <c r="L1407">
        <v>91</v>
      </c>
      <c r="M1407">
        <v>91</v>
      </c>
      <c r="N1407">
        <v>0</v>
      </c>
      <c r="O1407" s="1">
        <v>45583.307013888887</v>
      </c>
      <c r="P1407" t="s">
        <v>138</v>
      </c>
    </row>
    <row r="1408" spans="1:16" x14ac:dyDescent="0.3">
      <c r="A1408" t="s">
        <v>25</v>
      </c>
      <c r="B1408" s="1">
        <v>45583.307013888887</v>
      </c>
      <c r="C1408" t="str">
        <f>"41"</f>
        <v>41</v>
      </c>
      <c r="D1408" t="s">
        <v>120</v>
      </c>
      <c r="E1408" t="s">
        <v>116</v>
      </c>
      <c r="F1408" t="s">
        <v>117</v>
      </c>
      <c r="H1408" t="s">
        <v>397</v>
      </c>
      <c r="I1408" t="str">
        <f>"101050002024249"</f>
        <v>101050002024249</v>
      </c>
      <c r="J1408" t="str">
        <f t="shared" si="285"/>
        <v>127575</v>
      </c>
      <c r="K1408" t="s">
        <v>8</v>
      </c>
      <c r="L1408">
        <v>91</v>
      </c>
      <c r="M1408">
        <v>91</v>
      </c>
      <c r="N1408">
        <v>0</v>
      </c>
      <c r="O1408" s="1">
        <v>45583.307013888887</v>
      </c>
      <c r="P1408" t="s">
        <v>138</v>
      </c>
    </row>
    <row r="1409" spans="1:16" x14ac:dyDescent="0.3">
      <c r="A1409" t="s">
        <v>25</v>
      </c>
      <c r="B1409" s="1">
        <v>45583.302361111113</v>
      </c>
      <c r="C1409" t="str">
        <f>"38"</f>
        <v>38</v>
      </c>
      <c r="D1409" t="s">
        <v>115</v>
      </c>
      <c r="E1409" t="s">
        <v>116</v>
      </c>
      <c r="F1409" t="s">
        <v>117</v>
      </c>
      <c r="H1409" t="s">
        <v>398</v>
      </c>
      <c r="L1409">
        <v>0</v>
      </c>
      <c r="M1409">
        <v>0</v>
      </c>
      <c r="N1409">
        <v>0</v>
      </c>
      <c r="O1409" s="1">
        <v>45583.302361111113</v>
      </c>
      <c r="P1409" t="s">
        <v>119</v>
      </c>
    </row>
    <row r="1410" spans="1:16" x14ac:dyDescent="0.3">
      <c r="A1410" t="s">
        <v>25</v>
      </c>
      <c r="B1410" s="1">
        <v>45583.302361111113</v>
      </c>
      <c r="C1410" t="str">
        <f t="shared" ref="C1410:C1416" si="286">"41"</f>
        <v>41</v>
      </c>
      <c r="D1410" t="s">
        <v>120</v>
      </c>
      <c r="E1410" t="s">
        <v>116</v>
      </c>
      <c r="F1410" t="s">
        <v>117</v>
      </c>
      <c r="H1410" t="s">
        <v>398</v>
      </c>
      <c r="I1410" t="str">
        <f>"101050002025376"</f>
        <v>101050002025376</v>
      </c>
      <c r="J1410" t="str">
        <f t="shared" ref="J1410:J1416" si="287">"515120"</f>
        <v>515120</v>
      </c>
      <c r="K1410" t="s">
        <v>2</v>
      </c>
      <c r="L1410">
        <v>49</v>
      </c>
      <c r="M1410">
        <v>49</v>
      </c>
      <c r="N1410">
        <v>0</v>
      </c>
      <c r="O1410" s="1">
        <v>45583.302361111113</v>
      </c>
      <c r="P1410" t="s">
        <v>119</v>
      </c>
    </row>
    <row r="1411" spans="1:16" x14ac:dyDescent="0.3">
      <c r="A1411" t="s">
        <v>25</v>
      </c>
      <c r="B1411" s="1">
        <v>45583.302349537036</v>
      </c>
      <c r="C1411" t="str">
        <f t="shared" si="286"/>
        <v>41</v>
      </c>
      <c r="D1411" t="s">
        <v>120</v>
      </c>
      <c r="E1411" t="s">
        <v>116</v>
      </c>
      <c r="F1411" t="s">
        <v>117</v>
      </c>
      <c r="H1411" t="s">
        <v>398</v>
      </c>
      <c r="I1411" t="str">
        <f>"101050002025375"</f>
        <v>101050002025375</v>
      </c>
      <c r="J1411" t="str">
        <f t="shared" si="287"/>
        <v>515120</v>
      </c>
      <c r="K1411" t="s">
        <v>2</v>
      </c>
      <c r="L1411">
        <v>49</v>
      </c>
      <c r="M1411">
        <v>49</v>
      </c>
      <c r="N1411">
        <v>0</v>
      </c>
      <c r="O1411" s="1">
        <v>45583.302349537036</v>
      </c>
      <c r="P1411" t="s">
        <v>119</v>
      </c>
    </row>
    <row r="1412" spans="1:16" x14ac:dyDescent="0.3">
      <c r="A1412" t="s">
        <v>25</v>
      </c>
      <c r="B1412" s="1">
        <v>45583.302349537036</v>
      </c>
      <c r="C1412" t="str">
        <f t="shared" si="286"/>
        <v>41</v>
      </c>
      <c r="D1412" t="s">
        <v>120</v>
      </c>
      <c r="E1412" t="s">
        <v>116</v>
      </c>
      <c r="F1412" t="s">
        <v>117</v>
      </c>
      <c r="H1412" t="s">
        <v>398</v>
      </c>
      <c r="I1412" t="str">
        <f>"101050002023925"</f>
        <v>101050002023925</v>
      </c>
      <c r="J1412" t="str">
        <f t="shared" si="287"/>
        <v>515120</v>
      </c>
      <c r="K1412" t="s">
        <v>2</v>
      </c>
      <c r="L1412">
        <v>49</v>
      </c>
      <c r="M1412">
        <v>49</v>
      </c>
      <c r="N1412">
        <v>0</v>
      </c>
      <c r="O1412" s="1">
        <v>45583.302349537036</v>
      </c>
      <c r="P1412" t="s">
        <v>119</v>
      </c>
    </row>
    <row r="1413" spans="1:16" x14ac:dyDescent="0.3">
      <c r="A1413" t="s">
        <v>25</v>
      </c>
      <c r="B1413" s="1">
        <v>45583.302349537036</v>
      </c>
      <c r="C1413" t="str">
        <f t="shared" si="286"/>
        <v>41</v>
      </c>
      <c r="D1413" t="s">
        <v>120</v>
      </c>
      <c r="E1413" t="s">
        <v>116</v>
      </c>
      <c r="F1413" t="s">
        <v>117</v>
      </c>
      <c r="H1413" t="s">
        <v>398</v>
      </c>
      <c r="I1413" t="str">
        <f>"101050002023649"</f>
        <v>101050002023649</v>
      </c>
      <c r="J1413" t="str">
        <f t="shared" si="287"/>
        <v>515120</v>
      </c>
      <c r="K1413" t="s">
        <v>2</v>
      </c>
      <c r="L1413">
        <v>49</v>
      </c>
      <c r="M1413">
        <v>49</v>
      </c>
      <c r="N1413">
        <v>0</v>
      </c>
      <c r="O1413" s="1">
        <v>45583.302349537036</v>
      </c>
      <c r="P1413" t="s">
        <v>119</v>
      </c>
    </row>
    <row r="1414" spans="1:16" x14ac:dyDescent="0.3">
      <c r="A1414" t="s">
        <v>25</v>
      </c>
      <c r="B1414" s="1">
        <v>45583.302349537036</v>
      </c>
      <c r="C1414" t="str">
        <f t="shared" si="286"/>
        <v>41</v>
      </c>
      <c r="D1414" t="s">
        <v>120</v>
      </c>
      <c r="E1414" t="s">
        <v>116</v>
      </c>
      <c r="F1414" t="s">
        <v>117</v>
      </c>
      <c r="H1414" t="s">
        <v>398</v>
      </c>
      <c r="I1414" t="str">
        <f>"101050002023922"</f>
        <v>101050002023922</v>
      </c>
      <c r="J1414" t="str">
        <f t="shared" si="287"/>
        <v>515120</v>
      </c>
      <c r="K1414" t="s">
        <v>2</v>
      </c>
      <c r="L1414">
        <v>49</v>
      </c>
      <c r="M1414">
        <v>49</v>
      </c>
      <c r="N1414">
        <v>0</v>
      </c>
      <c r="O1414" s="1">
        <v>45583.302349537036</v>
      </c>
      <c r="P1414" t="s">
        <v>119</v>
      </c>
    </row>
    <row r="1415" spans="1:16" x14ac:dyDescent="0.3">
      <c r="A1415" t="s">
        <v>25</v>
      </c>
      <c r="B1415" s="1">
        <v>45583.302349537036</v>
      </c>
      <c r="C1415" t="str">
        <f t="shared" si="286"/>
        <v>41</v>
      </c>
      <c r="D1415" t="s">
        <v>120</v>
      </c>
      <c r="E1415" t="s">
        <v>116</v>
      </c>
      <c r="F1415" t="s">
        <v>117</v>
      </c>
      <c r="H1415" t="s">
        <v>398</v>
      </c>
      <c r="I1415" t="str">
        <f>"101050002024181"</f>
        <v>101050002024181</v>
      </c>
      <c r="J1415" t="str">
        <f t="shared" si="287"/>
        <v>515120</v>
      </c>
      <c r="K1415" t="s">
        <v>2</v>
      </c>
      <c r="L1415">
        <v>49</v>
      </c>
      <c r="M1415">
        <v>49</v>
      </c>
      <c r="N1415">
        <v>0</v>
      </c>
      <c r="O1415" s="1">
        <v>45583.302349537036</v>
      </c>
      <c r="P1415" t="s">
        <v>119</v>
      </c>
    </row>
    <row r="1416" spans="1:16" x14ac:dyDescent="0.3">
      <c r="A1416" t="s">
        <v>25</v>
      </c>
      <c r="B1416" s="1">
        <v>45583.302349537036</v>
      </c>
      <c r="C1416" t="str">
        <f t="shared" si="286"/>
        <v>41</v>
      </c>
      <c r="D1416" t="s">
        <v>120</v>
      </c>
      <c r="E1416" t="s">
        <v>116</v>
      </c>
      <c r="F1416" t="s">
        <v>117</v>
      </c>
      <c r="H1416" t="s">
        <v>398</v>
      </c>
      <c r="I1416" t="str">
        <f>"101050002024178"</f>
        <v>101050002024178</v>
      </c>
      <c r="J1416" t="str">
        <f t="shared" si="287"/>
        <v>515120</v>
      </c>
      <c r="K1416" t="s">
        <v>2</v>
      </c>
      <c r="L1416">
        <v>49</v>
      </c>
      <c r="M1416">
        <v>49</v>
      </c>
      <c r="N1416">
        <v>0</v>
      </c>
      <c r="O1416" s="1">
        <v>45583.302349537036</v>
      </c>
      <c r="P1416" t="s">
        <v>119</v>
      </c>
    </row>
    <row r="1417" spans="1:16" x14ac:dyDescent="0.3">
      <c r="A1417" t="s">
        <v>25</v>
      </c>
      <c r="B1417" s="1">
        <v>45583.301064814812</v>
      </c>
      <c r="C1417" t="str">
        <f t="shared" ref="C1417:C1422" si="288">"38"</f>
        <v>38</v>
      </c>
      <c r="D1417" t="s">
        <v>115</v>
      </c>
      <c r="E1417" t="s">
        <v>116</v>
      </c>
      <c r="F1417" t="s">
        <v>117</v>
      </c>
      <c r="H1417" t="s">
        <v>399</v>
      </c>
      <c r="L1417">
        <v>0</v>
      </c>
      <c r="M1417">
        <v>0</v>
      </c>
      <c r="N1417">
        <v>0</v>
      </c>
      <c r="O1417" s="1">
        <v>45583.301064814812</v>
      </c>
      <c r="P1417" t="s">
        <v>353</v>
      </c>
    </row>
    <row r="1418" spans="1:16" x14ac:dyDescent="0.3">
      <c r="A1418" t="s">
        <v>25</v>
      </c>
      <c r="B1418" s="1">
        <v>45583.300949074073</v>
      </c>
      <c r="C1418" t="str">
        <f t="shared" si="288"/>
        <v>38</v>
      </c>
      <c r="D1418" t="s">
        <v>115</v>
      </c>
      <c r="E1418" t="s">
        <v>116</v>
      </c>
      <c r="F1418" t="s">
        <v>117</v>
      </c>
      <c r="H1418" t="s">
        <v>400</v>
      </c>
      <c r="L1418">
        <v>0</v>
      </c>
      <c r="M1418">
        <v>0</v>
      </c>
      <c r="N1418">
        <v>0</v>
      </c>
      <c r="O1418" s="1">
        <v>45583.300949074073</v>
      </c>
      <c r="P1418" t="s">
        <v>353</v>
      </c>
    </row>
    <row r="1419" spans="1:16" x14ac:dyDescent="0.3">
      <c r="A1419" t="s">
        <v>25</v>
      </c>
      <c r="B1419" s="1">
        <v>45583.300856481481</v>
      </c>
      <c r="C1419" t="str">
        <f t="shared" si="288"/>
        <v>38</v>
      </c>
      <c r="D1419" t="s">
        <v>115</v>
      </c>
      <c r="E1419" t="s">
        <v>116</v>
      </c>
      <c r="F1419" t="s">
        <v>117</v>
      </c>
      <c r="H1419" t="s">
        <v>401</v>
      </c>
      <c r="L1419">
        <v>0</v>
      </c>
      <c r="M1419">
        <v>0</v>
      </c>
      <c r="N1419">
        <v>0</v>
      </c>
      <c r="O1419" s="1">
        <v>45583.300856481481</v>
      </c>
      <c r="P1419" t="s">
        <v>353</v>
      </c>
    </row>
    <row r="1420" spans="1:16" x14ac:dyDescent="0.3">
      <c r="A1420" t="s">
        <v>25</v>
      </c>
      <c r="B1420" s="1">
        <v>45583.300763888888</v>
      </c>
      <c r="C1420" t="str">
        <f t="shared" si="288"/>
        <v>38</v>
      </c>
      <c r="D1420" t="s">
        <v>115</v>
      </c>
      <c r="E1420" t="s">
        <v>116</v>
      </c>
      <c r="F1420" t="s">
        <v>117</v>
      </c>
      <c r="H1420" t="s">
        <v>402</v>
      </c>
      <c r="L1420">
        <v>0</v>
      </c>
      <c r="M1420">
        <v>0</v>
      </c>
      <c r="N1420">
        <v>0</v>
      </c>
      <c r="O1420" s="1">
        <v>45583.300763888888</v>
      </c>
      <c r="P1420" t="s">
        <v>353</v>
      </c>
    </row>
    <row r="1421" spans="1:16" x14ac:dyDescent="0.3">
      <c r="A1421" t="s">
        <v>25</v>
      </c>
      <c r="B1421" s="1">
        <v>45583.300543981481</v>
      </c>
      <c r="C1421" t="str">
        <f t="shared" si="288"/>
        <v>38</v>
      </c>
      <c r="D1421" t="s">
        <v>115</v>
      </c>
      <c r="E1421" t="s">
        <v>116</v>
      </c>
      <c r="F1421" t="s">
        <v>117</v>
      </c>
      <c r="H1421" t="s">
        <v>403</v>
      </c>
      <c r="L1421">
        <v>0</v>
      </c>
      <c r="M1421">
        <v>0</v>
      </c>
      <c r="N1421">
        <v>0</v>
      </c>
      <c r="O1421" s="1">
        <v>45583.300543981481</v>
      </c>
      <c r="P1421" t="s">
        <v>353</v>
      </c>
    </row>
    <row r="1422" spans="1:16" x14ac:dyDescent="0.3">
      <c r="A1422" t="s">
        <v>25</v>
      </c>
      <c r="B1422" s="1">
        <v>45583.300532407404</v>
      </c>
      <c r="C1422" t="str">
        <f t="shared" si="288"/>
        <v>38</v>
      </c>
      <c r="D1422" t="s">
        <v>115</v>
      </c>
      <c r="E1422" t="s">
        <v>116</v>
      </c>
      <c r="F1422" t="s">
        <v>117</v>
      </c>
      <c r="H1422" t="s">
        <v>404</v>
      </c>
      <c r="L1422">
        <v>0</v>
      </c>
      <c r="M1422">
        <v>0</v>
      </c>
      <c r="N1422">
        <v>0</v>
      </c>
      <c r="O1422" s="1">
        <v>45583.300532407404</v>
      </c>
      <c r="P1422" t="s">
        <v>119</v>
      </c>
    </row>
    <row r="1423" spans="1:16" x14ac:dyDescent="0.3">
      <c r="A1423" t="s">
        <v>25</v>
      </c>
      <c r="B1423" s="1">
        <v>45583.300532407404</v>
      </c>
      <c r="C1423" t="str">
        <f t="shared" ref="C1423:C1429" si="289">"41"</f>
        <v>41</v>
      </c>
      <c r="D1423" t="s">
        <v>120</v>
      </c>
      <c r="E1423" t="s">
        <v>116</v>
      </c>
      <c r="F1423" t="s">
        <v>117</v>
      </c>
      <c r="H1423" t="s">
        <v>404</v>
      </c>
      <c r="I1423" t="str">
        <f>"101050002022475"</f>
        <v>101050002022475</v>
      </c>
      <c r="J1423" t="str">
        <f t="shared" ref="J1423:J1429" si="290">"127577"</f>
        <v>127577</v>
      </c>
      <c r="K1423" t="s">
        <v>62</v>
      </c>
      <c r="L1423">
        <v>91</v>
      </c>
      <c r="M1423">
        <v>91</v>
      </c>
      <c r="N1423">
        <v>0</v>
      </c>
      <c r="O1423" s="1">
        <v>45583.300532407404</v>
      </c>
      <c r="P1423" t="s">
        <v>119</v>
      </c>
    </row>
    <row r="1424" spans="1:16" x14ac:dyDescent="0.3">
      <c r="A1424" t="s">
        <v>25</v>
      </c>
      <c r="B1424" s="1">
        <v>45583.300520833334</v>
      </c>
      <c r="C1424" t="str">
        <f t="shared" si="289"/>
        <v>41</v>
      </c>
      <c r="D1424" t="s">
        <v>120</v>
      </c>
      <c r="E1424" t="s">
        <v>116</v>
      </c>
      <c r="F1424" t="s">
        <v>117</v>
      </c>
      <c r="H1424" t="s">
        <v>404</v>
      </c>
      <c r="I1424" t="str">
        <f>"101050002022147"</f>
        <v>101050002022147</v>
      </c>
      <c r="J1424" t="str">
        <f t="shared" si="290"/>
        <v>127577</v>
      </c>
      <c r="K1424" t="s">
        <v>62</v>
      </c>
      <c r="L1424">
        <v>91</v>
      </c>
      <c r="M1424">
        <v>91</v>
      </c>
      <c r="N1424">
        <v>0</v>
      </c>
      <c r="O1424" s="1">
        <v>45583.300520833334</v>
      </c>
      <c r="P1424" t="s">
        <v>119</v>
      </c>
    </row>
    <row r="1425" spans="1:16" x14ac:dyDescent="0.3">
      <c r="A1425" t="s">
        <v>25</v>
      </c>
      <c r="B1425" s="1">
        <v>45583.300520833334</v>
      </c>
      <c r="C1425" t="str">
        <f t="shared" si="289"/>
        <v>41</v>
      </c>
      <c r="D1425" t="s">
        <v>120</v>
      </c>
      <c r="E1425" t="s">
        <v>116</v>
      </c>
      <c r="F1425" t="s">
        <v>117</v>
      </c>
      <c r="H1425" t="s">
        <v>404</v>
      </c>
      <c r="I1425" t="str">
        <f>"101050002022146"</f>
        <v>101050002022146</v>
      </c>
      <c r="J1425" t="str">
        <f t="shared" si="290"/>
        <v>127577</v>
      </c>
      <c r="K1425" t="s">
        <v>62</v>
      </c>
      <c r="L1425">
        <v>91</v>
      </c>
      <c r="M1425">
        <v>91</v>
      </c>
      <c r="N1425">
        <v>0</v>
      </c>
      <c r="O1425" s="1">
        <v>45583.300520833334</v>
      </c>
      <c r="P1425" t="s">
        <v>119</v>
      </c>
    </row>
    <row r="1426" spans="1:16" x14ac:dyDescent="0.3">
      <c r="A1426" t="s">
        <v>25</v>
      </c>
      <c r="B1426" s="1">
        <v>45583.300520833334</v>
      </c>
      <c r="C1426" t="str">
        <f t="shared" si="289"/>
        <v>41</v>
      </c>
      <c r="D1426" t="s">
        <v>120</v>
      </c>
      <c r="E1426" t="s">
        <v>116</v>
      </c>
      <c r="F1426" t="s">
        <v>117</v>
      </c>
      <c r="H1426" t="s">
        <v>404</v>
      </c>
      <c r="I1426" t="str">
        <f>"101050002021805"</f>
        <v>101050002021805</v>
      </c>
      <c r="J1426" t="str">
        <f t="shared" si="290"/>
        <v>127577</v>
      </c>
      <c r="K1426" t="s">
        <v>62</v>
      </c>
      <c r="L1426">
        <v>91</v>
      </c>
      <c r="M1426">
        <v>91</v>
      </c>
      <c r="N1426">
        <v>0</v>
      </c>
      <c r="O1426" s="1">
        <v>45583.300520833334</v>
      </c>
      <c r="P1426" t="s">
        <v>119</v>
      </c>
    </row>
    <row r="1427" spans="1:16" x14ac:dyDescent="0.3">
      <c r="A1427" t="s">
        <v>25</v>
      </c>
      <c r="B1427" s="1">
        <v>45583.300520833334</v>
      </c>
      <c r="C1427" t="str">
        <f t="shared" si="289"/>
        <v>41</v>
      </c>
      <c r="D1427" t="s">
        <v>120</v>
      </c>
      <c r="E1427" t="s">
        <v>116</v>
      </c>
      <c r="F1427" t="s">
        <v>117</v>
      </c>
      <c r="H1427" t="s">
        <v>404</v>
      </c>
      <c r="I1427" t="str">
        <f>"101050002021864"</f>
        <v>101050002021864</v>
      </c>
      <c r="J1427" t="str">
        <f t="shared" si="290"/>
        <v>127577</v>
      </c>
      <c r="K1427" t="s">
        <v>62</v>
      </c>
      <c r="L1427">
        <v>91</v>
      </c>
      <c r="M1427">
        <v>91</v>
      </c>
      <c r="N1427">
        <v>0</v>
      </c>
      <c r="O1427" s="1">
        <v>45583.300520833334</v>
      </c>
      <c r="P1427" t="s">
        <v>119</v>
      </c>
    </row>
    <row r="1428" spans="1:16" x14ac:dyDescent="0.3">
      <c r="A1428" t="s">
        <v>25</v>
      </c>
      <c r="B1428" s="1">
        <v>45583.300520833334</v>
      </c>
      <c r="C1428" t="str">
        <f t="shared" si="289"/>
        <v>41</v>
      </c>
      <c r="D1428" t="s">
        <v>120</v>
      </c>
      <c r="E1428" t="s">
        <v>116</v>
      </c>
      <c r="F1428" t="s">
        <v>117</v>
      </c>
      <c r="H1428" t="s">
        <v>404</v>
      </c>
      <c r="I1428" t="str">
        <f>"101050002021802"</f>
        <v>101050002021802</v>
      </c>
      <c r="J1428" t="str">
        <f t="shared" si="290"/>
        <v>127577</v>
      </c>
      <c r="K1428" t="s">
        <v>62</v>
      </c>
      <c r="L1428">
        <v>91</v>
      </c>
      <c r="M1428">
        <v>91</v>
      </c>
      <c r="N1428">
        <v>0</v>
      </c>
      <c r="O1428" s="1">
        <v>45583.300520833334</v>
      </c>
      <c r="P1428" t="s">
        <v>119</v>
      </c>
    </row>
    <row r="1429" spans="1:16" x14ac:dyDescent="0.3">
      <c r="A1429" t="s">
        <v>25</v>
      </c>
      <c r="B1429" s="1">
        <v>45583.300520833334</v>
      </c>
      <c r="C1429" t="str">
        <f t="shared" si="289"/>
        <v>41</v>
      </c>
      <c r="D1429" t="s">
        <v>120</v>
      </c>
      <c r="E1429" t="s">
        <v>116</v>
      </c>
      <c r="F1429" t="s">
        <v>117</v>
      </c>
      <c r="H1429" t="s">
        <v>404</v>
      </c>
      <c r="I1429" t="str">
        <f>"101050002021867"</f>
        <v>101050002021867</v>
      </c>
      <c r="J1429" t="str">
        <f t="shared" si="290"/>
        <v>127577</v>
      </c>
      <c r="K1429" t="s">
        <v>62</v>
      </c>
      <c r="L1429">
        <v>91</v>
      </c>
      <c r="M1429">
        <v>91</v>
      </c>
      <c r="N1429">
        <v>0</v>
      </c>
      <c r="O1429" s="1">
        <v>45583.300520833334</v>
      </c>
      <c r="P1429" t="s">
        <v>119</v>
      </c>
    </row>
    <row r="1430" spans="1:16" x14ac:dyDescent="0.3">
      <c r="A1430" t="s">
        <v>25</v>
      </c>
      <c r="B1430" s="1">
        <v>45583.300462962965</v>
      </c>
      <c r="C1430" t="str">
        <f t="shared" ref="C1430:C1461" si="291">"38"</f>
        <v>38</v>
      </c>
      <c r="D1430" t="s">
        <v>115</v>
      </c>
      <c r="E1430" t="s">
        <v>116</v>
      </c>
      <c r="F1430" t="s">
        <v>117</v>
      </c>
      <c r="H1430" t="s">
        <v>405</v>
      </c>
      <c r="L1430">
        <v>0</v>
      </c>
      <c r="M1430">
        <v>0</v>
      </c>
      <c r="N1430">
        <v>0</v>
      </c>
      <c r="O1430" s="1">
        <v>45583.300462962965</v>
      </c>
      <c r="P1430" t="s">
        <v>353</v>
      </c>
    </row>
    <row r="1431" spans="1:16" x14ac:dyDescent="0.3">
      <c r="A1431" t="s">
        <v>25</v>
      </c>
      <c r="B1431" s="1">
        <v>45583.300069444442</v>
      </c>
      <c r="C1431" t="str">
        <f t="shared" si="291"/>
        <v>38</v>
      </c>
      <c r="D1431" t="s">
        <v>115</v>
      </c>
      <c r="E1431" t="s">
        <v>116</v>
      </c>
      <c r="F1431" t="s">
        <v>117</v>
      </c>
      <c r="H1431" t="s">
        <v>406</v>
      </c>
      <c r="L1431">
        <v>0</v>
      </c>
      <c r="M1431">
        <v>0</v>
      </c>
      <c r="N1431">
        <v>0</v>
      </c>
      <c r="O1431" s="1">
        <v>45583.300069444442</v>
      </c>
      <c r="P1431" t="s">
        <v>353</v>
      </c>
    </row>
    <row r="1432" spans="1:16" x14ac:dyDescent="0.3">
      <c r="A1432" t="s">
        <v>25</v>
      </c>
      <c r="B1432" s="1">
        <v>45583.299988425926</v>
      </c>
      <c r="C1432" t="str">
        <f t="shared" si="291"/>
        <v>38</v>
      </c>
      <c r="D1432" t="s">
        <v>115</v>
      </c>
      <c r="E1432" t="s">
        <v>116</v>
      </c>
      <c r="F1432" t="s">
        <v>117</v>
      </c>
      <c r="H1432" t="s">
        <v>407</v>
      </c>
      <c r="L1432">
        <v>0</v>
      </c>
      <c r="M1432">
        <v>0</v>
      </c>
      <c r="N1432">
        <v>0</v>
      </c>
      <c r="O1432" s="1">
        <v>45583.299988425926</v>
      </c>
      <c r="P1432" t="s">
        <v>353</v>
      </c>
    </row>
    <row r="1433" spans="1:16" x14ac:dyDescent="0.3">
      <c r="A1433" t="s">
        <v>25</v>
      </c>
      <c r="B1433" s="1">
        <v>45583.299768518518</v>
      </c>
      <c r="C1433" t="str">
        <f t="shared" si="291"/>
        <v>38</v>
      </c>
      <c r="D1433" t="s">
        <v>115</v>
      </c>
      <c r="E1433" t="s">
        <v>116</v>
      </c>
      <c r="F1433" t="s">
        <v>117</v>
      </c>
      <c r="H1433" t="s">
        <v>408</v>
      </c>
      <c r="L1433">
        <v>0</v>
      </c>
      <c r="M1433">
        <v>0</v>
      </c>
      <c r="N1433">
        <v>0</v>
      </c>
      <c r="O1433" s="1">
        <v>45583.299768518518</v>
      </c>
      <c r="P1433" t="s">
        <v>353</v>
      </c>
    </row>
    <row r="1434" spans="1:16" x14ac:dyDescent="0.3">
      <c r="A1434" t="s">
        <v>25</v>
      </c>
      <c r="B1434" s="1">
        <v>45583.299618055556</v>
      </c>
      <c r="C1434" t="str">
        <f t="shared" si="291"/>
        <v>38</v>
      </c>
      <c r="D1434" t="s">
        <v>115</v>
      </c>
      <c r="E1434" t="s">
        <v>116</v>
      </c>
      <c r="F1434" t="s">
        <v>117</v>
      </c>
      <c r="H1434" t="s">
        <v>409</v>
      </c>
      <c r="L1434">
        <v>0</v>
      </c>
      <c r="M1434">
        <v>0</v>
      </c>
      <c r="N1434">
        <v>0</v>
      </c>
      <c r="O1434" s="1">
        <v>45583.299618055556</v>
      </c>
      <c r="P1434" t="s">
        <v>353</v>
      </c>
    </row>
    <row r="1435" spans="1:16" x14ac:dyDescent="0.3">
      <c r="A1435" t="s">
        <v>25</v>
      </c>
      <c r="B1435" s="1">
        <v>45583.299513888887</v>
      </c>
      <c r="C1435" t="str">
        <f t="shared" si="291"/>
        <v>38</v>
      </c>
      <c r="D1435" t="s">
        <v>115</v>
      </c>
      <c r="E1435" t="s">
        <v>116</v>
      </c>
      <c r="F1435" t="s">
        <v>117</v>
      </c>
      <c r="H1435" t="s">
        <v>410</v>
      </c>
      <c r="L1435">
        <v>0</v>
      </c>
      <c r="M1435">
        <v>0</v>
      </c>
      <c r="N1435">
        <v>0</v>
      </c>
      <c r="O1435" s="1">
        <v>45583.299513888887</v>
      </c>
      <c r="P1435" t="s">
        <v>353</v>
      </c>
    </row>
    <row r="1436" spans="1:16" x14ac:dyDescent="0.3">
      <c r="A1436" t="s">
        <v>25</v>
      </c>
      <c r="B1436" s="1">
        <v>45583.299386574072</v>
      </c>
      <c r="C1436" t="str">
        <f t="shared" si="291"/>
        <v>38</v>
      </c>
      <c r="D1436" t="s">
        <v>115</v>
      </c>
      <c r="E1436" t="s">
        <v>116</v>
      </c>
      <c r="F1436" t="s">
        <v>117</v>
      </c>
      <c r="H1436" t="s">
        <v>411</v>
      </c>
      <c r="L1436">
        <v>0</v>
      </c>
      <c r="M1436">
        <v>0</v>
      </c>
      <c r="N1436">
        <v>0</v>
      </c>
      <c r="O1436" s="1">
        <v>45583.299386574072</v>
      </c>
      <c r="P1436" t="s">
        <v>353</v>
      </c>
    </row>
    <row r="1437" spans="1:16" x14ac:dyDescent="0.3">
      <c r="A1437" t="s">
        <v>25</v>
      </c>
      <c r="B1437" s="1">
        <v>45583.299293981479</v>
      </c>
      <c r="C1437" t="str">
        <f t="shared" si="291"/>
        <v>38</v>
      </c>
      <c r="D1437" t="s">
        <v>115</v>
      </c>
      <c r="E1437" t="s">
        <v>116</v>
      </c>
      <c r="F1437" t="s">
        <v>117</v>
      </c>
      <c r="H1437" t="s">
        <v>412</v>
      </c>
      <c r="L1437">
        <v>0</v>
      </c>
      <c r="M1437">
        <v>0</v>
      </c>
      <c r="N1437">
        <v>0</v>
      </c>
      <c r="O1437" s="1">
        <v>45583.299293981479</v>
      </c>
      <c r="P1437" t="s">
        <v>353</v>
      </c>
    </row>
    <row r="1438" spans="1:16" x14ac:dyDescent="0.3">
      <c r="A1438" t="s">
        <v>25</v>
      </c>
      <c r="B1438" s="1">
        <v>45583.299201388887</v>
      </c>
      <c r="C1438" t="str">
        <f t="shared" si="291"/>
        <v>38</v>
      </c>
      <c r="D1438" t="s">
        <v>115</v>
      </c>
      <c r="E1438" t="s">
        <v>116</v>
      </c>
      <c r="F1438" t="s">
        <v>117</v>
      </c>
      <c r="H1438" t="s">
        <v>413</v>
      </c>
      <c r="L1438">
        <v>0</v>
      </c>
      <c r="M1438">
        <v>0</v>
      </c>
      <c r="N1438">
        <v>0</v>
      </c>
      <c r="O1438" s="1">
        <v>45583.299201388887</v>
      </c>
      <c r="P1438" t="s">
        <v>353</v>
      </c>
    </row>
    <row r="1439" spans="1:16" x14ac:dyDescent="0.3">
      <c r="A1439" t="s">
        <v>25</v>
      </c>
      <c r="B1439" s="1">
        <v>45583.298981481479</v>
      </c>
      <c r="C1439" t="str">
        <f t="shared" si="291"/>
        <v>38</v>
      </c>
      <c r="D1439" t="s">
        <v>115</v>
      </c>
      <c r="E1439" t="s">
        <v>116</v>
      </c>
      <c r="F1439" t="s">
        <v>117</v>
      </c>
      <c r="H1439" t="s">
        <v>413</v>
      </c>
      <c r="L1439">
        <v>0</v>
      </c>
      <c r="M1439">
        <v>0</v>
      </c>
      <c r="N1439">
        <v>0</v>
      </c>
      <c r="O1439" s="1">
        <v>45583.298981481479</v>
      </c>
      <c r="P1439" t="s">
        <v>353</v>
      </c>
    </row>
    <row r="1440" spans="1:16" x14ac:dyDescent="0.3">
      <c r="A1440" t="s">
        <v>25</v>
      </c>
      <c r="B1440" s="1">
        <v>45583.298807870371</v>
      </c>
      <c r="C1440" t="str">
        <f t="shared" si="291"/>
        <v>38</v>
      </c>
      <c r="D1440" t="s">
        <v>115</v>
      </c>
      <c r="E1440" t="s">
        <v>116</v>
      </c>
      <c r="F1440" t="s">
        <v>117</v>
      </c>
      <c r="H1440" t="s">
        <v>414</v>
      </c>
      <c r="L1440">
        <v>0</v>
      </c>
      <c r="M1440">
        <v>0</v>
      </c>
      <c r="N1440">
        <v>0</v>
      </c>
      <c r="O1440" s="1">
        <v>45583.298807870371</v>
      </c>
      <c r="P1440" t="s">
        <v>353</v>
      </c>
    </row>
    <row r="1441" spans="1:16" x14ac:dyDescent="0.3">
      <c r="A1441" t="s">
        <v>25</v>
      </c>
      <c r="B1441" s="1">
        <v>45583.298703703702</v>
      </c>
      <c r="C1441" t="str">
        <f t="shared" si="291"/>
        <v>38</v>
      </c>
      <c r="D1441" t="s">
        <v>115</v>
      </c>
      <c r="E1441" t="s">
        <v>116</v>
      </c>
      <c r="F1441" t="s">
        <v>117</v>
      </c>
      <c r="H1441" t="s">
        <v>415</v>
      </c>
      <c r="L1441">
        <v>0</v>
      </c>
      <c r="M1441">
        <v>0</v>
      </c>
      <c r="N1441">
        <v>0</v>
      </c>
      <c r="O1441" s="1">
        <v>45583.298703703702</v>
      </c>
      <c r="P1441" t="s">
        <v>353</v>
      </c>
    </row>
    <row r="1442" spans="1:16" x14ac:dyDescent="0.3">
      <c r="A1442" t="s">
        <v>25</v>
      </c>
      <c r="B1442" s="1">
        <v>45583.298576388886</v>
      </c>
      <c r="C1442" t="str">
        <f t="shared" si="291"/>
        <v>38</v>
      </c>
      <c r="D1442" t="s">
        <v>115</v>
      </c>
      <c r="E1442" t="s">
        <v>116</v>
      </c>
      <c r="F1442" t="s">
        <v>117</v>
      </c>
      <c r="H1442" t="s">
        <v>416</v>
      </c>
      <c r="L1442">
        <v>0</v>
      </c>
      <c r="M1442">
        <v>0</v>
      </c>
      <c r="N1442">
        <v>0</v>
      </c>
      <c r="O1442" s="1">
        <v>45583.298576388886</v>
      </c>
      <c r="P1442" t="s">
        <v>353</v>
      </c>
    </row>
    <row r="1443" spans="1:16" x14ac:dyDescent="0.3">
      <c r="A1443" t="s">
        <v>25</v>
      </c>
      <c r="B1443" s="1">
        <v>45583.298298611109</v>
      </c>
      <c r="C1443" t="str">
        <f t="shared" si="291"/>
        <v>38</v>
      </c>
      <c r="D1443" t="s">
        <v>115</v>
      </c>
      <c r="E1443" t="s">
        <v>116</v>
      </c>
      <c r="F1443" t="s">
        <v>117</v>
      </c>
      <c r="H1443" t="s">
        <v>417</v>
      </c>
      <c r="L1443">
        <v>0</v>
      </c>
      <c r="M1443">
        <v>0</v>
      </c>
      <c r="N1443">
        <v>0</v>
      </c>
      <c r="O1443" s="1">
        <v>45583.298298611109</v>
      </c>
      <c r="P1443" t="s">
        <v>353</v>
      </c>
    </row>
    <row r="1444" spans="1:16" x14ac:dyDescent="0.3">
      <c r="A1444" t="s">
        <v>25</v>
      </c>
      <c r="B1444" s="1">
        <v>45583.298206018517</v>
      </c>
      <c r="C1444" t="str">
        <f t="shared" si="291"/>
        <v>38</v>
      </c>
      <c r="D1444" t="s">
        <v>115</v>
      </c>
      <c r="E1444" t="s">
        <v>116</v>
      </c>
      <c r="F1444" t="s">
        <v>117</v>
      </c>
      <c r="H1444" t="s">
        <v>418</v>
      </c>
      <c r="L1444">
        <v>0</v>
      </c>
      <c r="M1444">
        <v>0</v>
      </c>
      <c r="N1444">
        <v>0</v>
      </c>
      <c r="O1444" s="1">
        <v>45583.298206018517</v>
      </c>
      <c r="P1444" t="s">
        <v>353</v>
      </c>
    </row>
    <row r="1445" spans="1:16" x14ac:dyDescent="0.3">
      <c r="A1445" t="s">
        <v>25</v>
      </c>
      <c r="B1445" s="1">
        <v>45583.298113425924</v>
      </c>
      <c r="C1445" t="str">
        <f t="shared" si="291"/>
        <v>38</v>
      </c>
      <c r="D1445" t="s">
        <v>115</v>
      </c>
      <c r="E1445" t="s">
        <v>116</v>
      </c>
      <c r="F1445" t="s">
        <v>117</v>
      </c>
      <c r="H1445" t="s">
        <v>419</v>
      </c>
      <c r="L1445">
        <v>0</v>
      </c>
      <c r="M1445">
        <v>0</v>
      </c>
      <c r="N1445">
        <v>0</v>
      </c>
      <c r="O1445" s="1">
        <v>45583.298113425924</v>
      </c>
      <c r="P1445" t="s">
        <v>353</v>
      </c>
    </row>
    <row r="1446" spans="1:16" x14ac:dyDescent="0.3">
      <c r="A1446" t="s">
        <v>25</v>
      </c>
      <c r="B1446" s="1">
        <v>45583.297974537039</v>
      </c>
      <c r="C1446" t="str">
        <f t="shared" si="291"/>
        <v>38</v>
      </c>
      <c r="D1446" t="s">
        <v>115</v>
      </c>
      <c r="E1446" t="s">
        <v>116</v>
      </c>
      <c r="F1446" t="s">
        <v>117</v>
      </c>
      <c r="H1446" t="s">
        <v>420</v>
      </c>
      <c r="L1446">
        <v>0</v>
      </c>
      <c r="M1446">
        <v>0</v>
      </c>
      <c r="N1446">
        <v>0</v>
      </c>
      <c r="O1446" s="1">
        <v>45583.297974537039</v>
      </c>
      <c r="P1446" t="s">
        <v>353</v>
      </c>
    </row>
    <row r="1447" spans="1:16" x14ac:dyDescent="0.3">
      <c r="A1447" t="s">
        <v>25</v>
      </c>
      <c r="B1447" s="1">
        <v>45583.297847222224</v>
      </c>
      <c r="C1447" t="str">
        <f t="shared" si="291"/>
        <v>38</v>
      </c>
      <c r="D1447" t="s">
        <v>115</v>
      </c>
      <c r="E1447" t="s">
        <v>116</v>
      </c>
      <c r="F1447" t="s">
        <v>117</v>
      </c>
      <c r="H1447" t="s">
        <v>421</v>
      </c>
      <c r="L1447">
        <v>0</v>
      </c>
      <c r="M1447">
        <v>0</v>
      </c>
      <c r="N1447">
        <v>0</v>
      </c>
      <c r="O1447" s="1">
        <v>45583.297847222224</v>
      </c>
      <c r="P1447" t="s">
        <v>353</v>
      </c>
    </row>
    <row r="1448" spans="1:16" x14ac:dyDescent="0.3">
      <c r="A1448" t="s">
        <v>25</v>
      </c>
      <c r="B1448" s="1">
        <v>45583.297719907408</v>
      </c>
      <c r="C1448" t="str">
        <f t="shared" si="291"/>
        <v>38</v>
      </c>
      <c r="D1448" t="s">
        <v>115</v>
      </c>
      <c r="E1448" t="s">
        <v>116</v>
      </c>
      <c r="F1448" t="s">
        <v>117</v>
      </c>
      <c r="H1448" t="s">
        <v>422</v>
      </c>
      <c r="L1448">
        <v>0</v>
      </c>
      <c r="M1448">
        <v>0</v>
      </c>
      <c r="N1448">
        <v>0</v>
      </c>
      <c r="O1448" s="1">
        <v>45583.297719907408</v>
      </c>
      <c r="P1448" t="s">
        <v>353</v>
      </c>
    </row>
    <row r="1449" spans="1:16" x14ac:dyDescent="0.3">
      <c r="A1449" t="s">
        <v>25</v>
      </c>
      <c r="B1449" s="1">
        <v>45583.297534722224</v>
      </c>
      <c r="C1449" t="str">
        <f t="shared" si="291"/>
        <v>38</v>
      </c>
      <c r="D1449" t="s">
        <v>115</v>
      </c>
      <c r="E1449" t="s">
        <v>116</v>
      </c>
      <c r="F1449" t="s">
        <v>117</v>
      </c>
      <c r="H1449" t="s">
        <v>423</v>
      </c>
      <c r="L1449">
        <v>0</v>
      </c>
      <c r="M1449">
        <v>0</v>
      </c>
      <c r="N1449">
        <v>0</v>
      </c>
      <c r="O1449" s="1">
        <v>45583.297534722224</v>
      </c>
      <c r="P1449" t="s">
        <v>353</v>
      </c>
    </row>
    <row r="1450" spans="1:16" x14ac:dyDescent="0.3">
      <c r="A1450" t="s">
        <v>25</v>
      </c>
      <c r="B1450" s="1">
        <v>45583.297418981485</v>
      </c>
      <c r="C1450" t="str">
        <f t="shared" si="291"/>
        <v>38</v>
      </c>
      <c r="D1450" t="s">
        <v>115</v>
      </c>
      <c r="E1450" t="s">
        <v>116</v>
      </c>
      <c r="F1450" t="s">
        <v>117</v>
      </c>
      <c r="H1450" t="s">
        <v>424</v>
      </c>
      <c r="L1450">
        <v>0</v>
      </c>
      <c r="M1450">
        <v>0</v>
      </c>
      <c r="N1450">
        <v>0</v>
      </c>
      <c r="O1450" s="1">
        <v>45583.297418981485</v>
      </c>
      <c r="P1450" t="s">
        <v>353</v>
      </c>
    </row>
    <row r="1451" spans="1:16" x14ac:dyDescent="0.3">
      <c r="A1451" t="s">
        <v>25</v>
      </c>
      <c r="B1451" s="1">
        <v>45583.296840277777</v>
      </c>
      <c r="C1451" t="str">
        <f t="shared" si="291"/>
        <v>38</v>
      </c>
      <c r="D1451" t="s">
        <v>115</v>
      </c>
      <c r="E1451" t="s">
        <v>116</v>
      </c>
      <c r="F1451" t="s">
        <v>117</v>
      </c>
      <c r="H1451" t="s">
        <v>423</v>
      </c>
      <c r="L1451">
        <v>0</v>
      </c>
      <c r="M1451">
        <v>0</v>
      </c>
      <c r="N1451">
        <v>0</v>
      </c>
      <c r="O1451" s="1">
        <v>45583.296840277777</v>
      </c>
      <c r="P1451" t="s">
        <v>353</v>
      </c>
    </row>
    <row r="1452" spans="1:16" x14ac:dyDescent="0.3">
      <c r="A1452" t="s">
        <v>25</v>
      </c>
      <c r="B1452" s="1">
        <v>45583.296747685185</v>
      </c>
      <c r="C1452" t="str">
        <f t="shared" si="291"/>
        <v>38</v>
      </c>
      <c r="D1452" t="s">
        <v>115</v>
      </c>
      <c r="E1452" t="s">
        <v>116</v>
      </c>
      <c r="F1452" t="s">
        <v>117</v>
      </c>
      <c r="H1452" t="s">
        <v>424</v>
      </c>
      <c r="L1452">
        <v>0</v>
      </c>
      <c r="M1452">
        <v>0</v>
      </c>
      <c r="N1452">
        <v>0</v>
      </c>
      <c r="O1452" s="1">
        <v>45583.296747685185</v>
      </c>
      <c r="P1452" t="s">
        <v>353</v>
      </c>
    </row>
    <row r="1453" spans="1:16" x14ac:dyDescent="0.3">
      <c r="A1453" t="s">
        <v>25</v>
      </c>
      <c r="B1453" s="1">
        <v>45583.296655092592</v>
      </c>
      <c r="C1453" t="str">
        <f t="shared" si="291"/>
        <v>38</v>
      </c>
      <c r="D1453" t="s">
        <v>115</v>
      </c>
      <c r="E1453" t="s">
        <v>116</v>
      </c>
      <c r="F1453" t="s">
        <v>117</v>
      </c>
      <c r="H1453" t="s">
        <v>425</v>
      </c>
      <c r="L1453">
        <v>0</v>
      </c>
      <c r="M1453">
        <v>0</v>
      </c>
      <c r="N1453">
        <v>0</v>
      </c>
      <c r="O1453" s="1">
        <v>45583.296655092592</v>
      </c>
      <c r="P1453" t="s">
        <v>353</v>
      </c>
    </row>
    <row r="1454" spans="1:16" x14ac:dyDescent="0.3">
      <c r="A1454" t="s">
        <v>25</v>
      </c>
      <c r="B1454" s="1">
        <v>45583.296527777777</v>
      </c>
      <c r="C1454" t="str">
        <f t="shared" si="291"/>
        <v>38</v>
      </c>
      <c r="D1454" t="s">
        <v>115</v>
      </c>
      <c r="E1454" t="s">
        <v>116</v>
      </c>
      <c r="F1454" t="s">
        <v>117</v>
      </c>
      <c r="H1454" t="s">
        <v>426</v>
      </c>
      <c r="L1454">
        <v>0</v>
      </c>
      <c r="M1454">
        <v>0</v>
      </c>
      <c r="N1454">
        <v>0</v>
      </c>
      <c r="O1454" s="1">
        <v>45583.296527777777</v>
      </c>
      <c r="P1454" t="s">
        <v>353</v>
      </c>
    </row>
    <row r="1455" spans="1:16" x14ac:dyDescent="0.3">
      <c r="A1455" t="s">
        <v>25</v>
      </c>
      <c r="B1455" s="1">
        <v>45583.296354166669</v>
      </c>
      <c r="C1455" t="str">
        <f t="shared" si="291"/>
        <v>38</v>
      </c>
      <c r="D1455" t="s">
        <v>115</v>
      </c>
      <c r="E1455" t="s">
        <v>116</v>
      </c>
      <c r="F1455" t="s">
        <v>117</v>
      </c>
      <c r="H1455" t="s">
        <v>427</v>
      </c>
      <c r="L1455">
        <v>0</v>
      </c>
      <c r="M1455">
        <v>0</v>
      </c>
      <c r="N1455">
        <v>0</v>
      </c>
      <c r="O1455" s="1">
        <v>45583.296354166669</v>
      </c>
      <c r="P1455" t="s">
        <v>353</v>
      </c>
    </row>
    <row r="1456" spans="1:16" x14ac:dyDescent="0.3">
      <c r="A1456" t="s">
        <v>25</v>
      </c>
      <c r="B1456" s="1">
        <v>45583.296203703707</v>
      </c>
      <c r="C1456" t="str">
        <f t="shared" si="291"/>
        <v>38</v>
      </c>
      <c r="D1456" t="s">
        <v>115</v>
      </c>
      <c r="E1456" t="s">
        <v>116</v>
      </c>
      <c r="F1456" t="s">
        <v>117</v>
      </c>
      <c r="H1456" t="s">
        <v>428</v>
      </c>
      <c r="L1456">
        <v>0</v>
      </c>
      <c r="M1456">
        <v>0</v>
      </c>
      <c r="N1456">
        <v>0</v>
      </c>
      <c r="O1456" s="1">
        <v>45583.296203703707</v>
      </c>
      <c r="P1456" t="s">
        <v>353</v>
      </c>
    </row>
    <row r="1457" spans="1:16" x14ac:dyDescent="0.3">
      <c r="A1457" t="s">
        <v>25</v>
      </c>
      <c r="B1457" s="1">
        <v>45583.296087962961</v>
      </c>
      <c r="C1457" t="str">
        <f t="shared" si="291"/>
        <v>38</v>
      </c>
      <c r="D1457" t="s">
        <v>115</v>
      </c>
      <c r="E1457" t="s">
        <v>116</v>
      </c>
      <c r="F1457" t="s">
        <v>117</v>
      </c>
      <c r="H1457" t="s">
        <v>429</v>
      </c>
      <c r="L1457">
        <v>0</v>
      </c>
      <c r="M1457">
        <v>0</v>
      </c>
      <c r="N1457">
        <v>0</v>
      </c>
      <c r="O1457" s="1">
        <v>45583.296087962961</v>
      </c>
      <c r="P1457" t="s">
        <v>353</v>
      </c>
    </row>
    <row r="1458" spans="1:16" x14ac:dyDescent="0.3">
      <c r="A1458" t="s">
        <v>25</v>
      </c>
      <c r="B1458" s="1">
        <v>45583.295902777776</v>
      </c>
      <c r="C1458" t="str">
        <f t="shared" si="291"/>
        <v>38</v>
      </c>
      <c r="D1458" t="s">
        <v>115</v>
      </c>
      <c r="E1458" t="s">
        <v>116</v>
      </c>
      <c r="F1458" t="s">
        <v>117</v>
      </c>
      <c r="H1458" t="s">
        <v>430</v>
      </c>
      <c r="L1458">
        <v>0</v>
      </c>
      <c r="M1458">
        <v>0</v>
      </c>
      <c r="N1458">
        <v>0</v>
      </c>
      <c r="O1458" s="1">
        <v>45583.295902777776</v>
      </c>
      <c r="P1458" t="s">
        <v>353</v>
      </c>
    </row>
    <row r="1459" spans="1:16" x14ac:dyDescent="0.3">
      <c r="A1459" t="s">
        <v>25</v>
      </c>
      <c r="B1459" s="1">
        <v>45583.295752314814</v>
      </c>
      <c r="C1459" t="str">
        <f t="shared" si="291"/>
        <v>38</v>
      </c>
      <c r="D1459" t="s">
        <v>115</v>
      </c>
      <c r="E1459" t="s">
        <v>116</v>
      </c>
      <c r="F1459" t="s">
        <v>117</v>
      </c>
      <c r="H1459" t="s">
        <v>431</v>
      </c>
      <c r="L1459">
        <v>0</v>
      </c>
      <c r="M1459">
        <v>0</v>
      </c>
      <c r="N1459">
        <v>0</v>
      </c>
      <c r="O1459" s="1">
        <v>45583.295752314814</v>
      </c>
      <c r="P1459" t="s">
        <v>353</v>
      </c>
    </row>
    <row r="1460" spans="1:16" x14ac:dyDescent="0.3">
      <c r="A1460" t="s">
        <v>25</v>
      </c>
      <c r="B1460" s="1">
        <v>45583.295601851853</v>
      </c>
      <c r="C1460" t="str">
        <f t="shared" si="291"/>
        <v>38</v>
      </c>
      <c r="D1460" t="s">
        <v>115</v>
      </c>
      <c r="E1460" t="s">
        <v>116</v>
      </c>
      <c r="F1460" t="s">
        <v>117</v>
      </c>
      <c r="H1460" t="s">
        <v>432</v>
      </c>
      <c r="L1460">
        <v>0</v>
      </c>
      <c r="M1460">
        <v>0</v>
      </c>
      <c r="N1460">
        <v>0</v>
      </c>
      <c r="O1460" s="1">
        <v>45583.295601851853</v>
      </c>
      <c r="P1460" t="s">
        <v>353</v>
      </c>
    </row>
    <row r="1461" spans="1:16" x14ac:dyDescent="0.3">
      <c r="A1461" t="s">
        <v>25</v>
      </c>
      <c r="B1461" s="1">
        <v>45583.295486111114</v>
      </c>
      <c r="C1461" t="str">
        <f t="shared" si="291"/>
        <v>38</v>
      </c>
      <c r="D1461" t="s">
        <v>115</v>
      </c>
      <c r="E1461" t="s">
        <v>116</v>
      </c>
      <c r="F1461" t="s">
        <v>117</v>
      </c>
      <c r="H1461" t="s">
        <v>433</v>
      </c>
      <c r="L1461">
        <v>0</v>
      </c>
      <c r="M1461">
        <v>0</v>
      </c>
      <c r="N1461">
        <v>0</v>
      </c>
      <c r="O1461" s="1">
        <v>45583.295486111114</v>
      </c>
      <c r="P1461" t="s">
        <v>353</v>
      </c>
    </row>
    <row r="1462" spans="1:16" x14ac:dyDescent="0.3">
      <c r="A1462" t="s">
        <v>25</v>
      </c>
      <c r="B1462" s="1">
        <v>45583.295335648145</v>
      </c>
      <c r="C1462" t="str">
        <f t="shared" ref="C1462:C1494" si="292">"38"</f>
        <v>38</v>
      </c>
      <c r="D1462" t="s">
        <v>115</v>
      </c>
      <c r="E1462" t="s">
        <v>116</v>
      </c>
      <c r="F1462" t="s">
        <v>117</v>
      </c>
      <c r="H1462" t="s">
        <v>434</v>
      </c>
      <c r="L1462">
        <v>0</v>
      </c>
      <c r="M1462">
        <v>0</v>
      </c>
      <c r="N1462">
        <v>0</v>
      </c>
      <c r="O1462" s="1">
        <v>45583.295335648145</v>
      </c>
      <c r="P1462" t="s">
        <v>353</v>
      </c>
    </row>
    <row r="1463" spans="1:16" x14ac:dyDescent="0.3">
      <c r="A1463" t="s">
        <v>25</v>
      </c>
      <c r="B1463" s="1">
        <v>45583.295208333337</v>
      </c>
      <c r="C1463" t="str">
        <f t="shared" si="292"/>
        <v>38</v>
      </c>
      <c r="D1463" t="s">
        <v>115</v>
      </c>
      <c r="E1463" t="s">
        <v>116</v>
      </c>
      <c r="F1463" t="s">
        <v>117</v>
      </c>
      <c r="H1463" t="s">
        <v>435</v>
      </c>
      <c r="L1463">
        <v>0</v>
      </c>
      <c r="M1463">
        <v>0</v>
      </c>
      <c r="N1463">
        <v>0</v>
      </c>
      <c r="O1463" s="1">
        <v>45583.295208333337</v>
      </c>
      <c r="P1463" t="s">
        <v>353</v>
      </c>
    </row>
    <row r="1464" spans="1:16" x14ac:dyDescent="0.3">
      <c r="A1464" t="s">
        <v>25</v>
      </c>
      <c r="B1464" s="1">
        <v>45583.294976851852</v>
      </c>
      <c r="C1464" t="str">
        <f t="shared" si="292"/>
        <v>38</v>
      </c>
      <c r="D1464" t="s">
        <v>115</v>
      </c>
      <c r="E1464" t="s">
        <v>116</v>
      </c>
      <c r="F1464" t="s">
        <v>117</v>
      </c>
      <c r="H1464" t="s">
        <v>436</v>
      </c>
      <c r="L1464">
        <v>0</v>
      </c>
      <c r="M1464">
        <v>0</v>
      </c>
      <c r="N1464">
        <v>0</v>
      </c>
      <c r="O1464" s="1">
        <v>45583.294976851852</v>
      </c>
      <c r="P1464" t="s">
        <v>353</v>
      </c>
    </row>
    <row r="1465" spans="1:16" x14ac:dyDescent="0.3">
      <c r="A1465" t="s">
        <v>25</v>
      </c>
      <c r="B1465" s="1">
        <v>45583.29483796296</v>
      </c>
      <c r="C1465" t="str">
        <f t="shared" si="292"/>
        <v>38</v>
      </c>
      <c r="D1465" t="s">
        <v>115</v>
      </c>
      <c r="E1465" t="s">
        <v>116</v>
      </c>
      <c r="F1465" t="s">
        <v>117</v>
      </c>
      <c r="H1465" t="s">
        <v>437</v>
      </c>
      <c r="L1465">
        <v>0</v>
      </c>
      <c r="M1465">
        <v>0</v>
      </c>
      <c r="N1465">
        <v>0</v>
      </c>
      <c r="O1465" s="1">
        <v>45583.29483796296</v>
      </c>
      <c r="P1465" t="s">
        <v>353</v>
      </c>
    </row>
    <row r="1466" spans="1:16" x14ac:dyDescent="0.3">
      <c r="A1466" t="s">
        <v>25</v>
      </c>
      <c r="B1466" s="1">
        <v>45583.294710648152</v>
      </c>
      <c r="C1466" t="str">
        <f t="shared" si="292"/>
        <v>38</v>
      </c>
      <c r="D1466" t="s">
        <v>115</v>
      </c>
      <c r="E1466" t="s">
        <v>116</v>
      </c>
      <c r="F1466" t="s">
        <v>117</v>
      </c>
      <c r="H1466" t="s">
        <v>438</v>
      </c>
      <c r="L1466">
        <v>0</v>
      </c>
      <c r="M1466">
        <v>0</v>
      </c>
      <c r="N1466">
        <v>0</v>
      </c>
      <c r="O1466" s="1">
        <v>45583.294710648152</v>
      </c>
      <c r="P1466" t="s">
        <v>353</v>
      </c>
    </row>
    <row r="1467" spans="1:16" x14ac:dyDescent="0.3">
      <c r="A1467" t="s">
        <v>25</v>
      </c>
      <c r="B1467" s="1">
        <v>45583.294583333336</v>
      </c>
      <c r="C1467" t="str">
        <f t="shared" si="292"/>
        <v>38</v>
      </c>
      <c r="D1467" t="s">
        <v>115</v>
      </c>
      <c r="E1467" t="s">
        <v>116</v>
      </c>
      <c r="F1467" t="s">
        <v>117</v>
      </c>
      <c r="H1467" t="s">
        <v>438</v>
      </c>
      <c r="L1467">
        <v>0</v>
      </c>
      <c r="M1467">
        <v>0</v>
      </c>
      <c r="N1467">
        <v>0</v>
      </c>
      <c r="O1467" s="1">
        <v>45583.294583333336</v>
      </c>
      <c r="P1467" t="s">
        <v>353</v>
      </c>
    </row>
    <row r="1468" spans="1:16" x14ac:dyDescent="0.3">
      <c r="A1468" t="s">
        <v>25</v>
      </c>
      <c r="B1468" s="1">
        <v>45583.294456018521</v>
      </c>
      <c r="C1468" t="str">
        <f t="shared" si="292"/>
        <v>38</v>
      </c>
      <c r="D1468" t="s">
        <v>115</v>
      </c>
      <c r="E1468" t="s">
        <v>116</v>
      </c>
      <c r="F1468" t="s">
        <v>117</v>
      </c>
      <c r="H1468" t="s">
        <v>439</v>
      </c>
      <c r="L1468">
        <v>0</v>
      </c>
      <c r="M1468">
        <v>0</v>
      </c>
      <c r="N1468">
        <v>0</v>
      </c>
      <c r="O1468" s="1">
        <v>45583.294456018521</v>
      </c>
      <c r="P1468" t="s">
        <v>353</v>
      </c>
    </row>
    <row r="1469" spans="1:16" x14ac:dyDescent="0.3">
      <c r="A1469" t="s">
        <v>25</v>
      </c>
      <c r="B1469" s="1">
        <v>45583.294317129628</v>
      </c>
      <c r="C1469" t="str">
        <f t="shared" si="292"/>
        <v>38</v>
      </c>
      <c r="D1469" t="s">
        <v>115</v>
      </c>
      <c r="E1469" t="s">
        <v>116</v>
      </c>
      <c r="F1469" t="s">
        <v>117</v>
      </c>
      <c r="H1469" t="s">
        <v>440</v>
      </c>
      <c r="L1469">
        <v>0</v>
      </c>
      <c r="M1469">
        <v>0</v>
      </c>
      <c r="N1469">
        <v>0</v>
      </c>
      <c r="O1469" s="1">
        <v>45583.294317129628</v>
      </c>
      <c r="P1469" t="s">
        <v>353</v>
      </c>
    </row>
    <row r="1470" spans="1:16" x14ac:dyDescent="0.3">
      <c r="A1470" t="s">
        <v>25</v>
      </c>
      <c r="B1470" s="1">
        <v>45583.293715277781</v>
      </c>
      <c r="C1470" t="str">
        <f t="shared" si="292"/>
        <v>38</v>
      </c>
      <c r="D1470" t="s">
        <v>115</v>
      </c>
      <c r="E1470" t="s">
        <v>116</v>
      </c>
      <c r="F1470" t="s">
        <v>117</v>
      </c>
      <c r="H1470" t="s">
        <v>441</v>
      </c>
      <c r="L1470">
        <v>0</v>
      </c>
      <c r="M1470">
        <v>0</v>
      </c>
      <c r="N1470">
        <v>0</v>
      </c>
      <c r="O1470" s="1">
        <v>45583.293715277781</v>
      </c>
      <c r="P1470" t="s">
        <v>353</v>
      </c>
    </row>
    <row r="1471" spans="1:16" x14ac:dyDescent="0.3">
      <c r="A1471" t="s">
        <v>25</v>
      </c>
      <c r="B1471" s="1">
        <v>45583.293564814812</v>
      </c>
      <c r="C1471" t="str">
        <f t="shared" si="292"/>
        <v>38</v>
      </c>
      <c r="D1471" t="s">
        <v>115</v>
      </c>
      <c r="E1471" t="s">
        <v>116</v>
      </c>
      <c r="F1471" t="s">
        <v>117</v>
      </c>
      <c r="H1471" t="s">
        <v>442</v>
      </c>
      <c r="L1471">
        <v>0</v>
      </c>
      <c r="M1471">
        <v>0</v>
      </c>
      <c r="N1471">
        <v>0</v>
      </c>
      <c r="O1471" s="1">
        <v>45583.293564814812</v>
      </c>
      <c r="P1471" t="s">
        <v>353</v>
      </c>
    </row>
    <row r="1472" spans="1:16" x14ac:dyDescent="0.3">
      <c r="A1472" t="s">
        <v>25</v>
      </c>
      <c r="B1472" s="1">
        <v>45582.880983796298</v>
      </c>
      <c r="C1472" t="str">
        <f t="shared" si="292"/>
        <v>38</v>
      </c>
      <c r="D1472" t="s">
        <v>115</v>
      </c>
      <c r="E1472" t="s">
        <v>116</v>
      </c>
      <c r="F1472" t="s">
        <v>117</v>
      </c>
      <c r="H1472" t="s">
        <v>443</v>
      </c>
      <c r="L1472">
        <v>0</v>
      </c>
      <c r="M1472">
        <v>0</v>
      </c>
      <c r="N1472">
        <v>0</v>
      </c>
      <c r="O1472" s="1">
        <v>45582.880983796298</v>
      </c>
      <c r="P1472" t="s">
        <v>353</v>
      </c>
    </row>
    <row r="1473" spans="1:16" x14ac:dyDescent="0.3">
      <c r="A1473" t="s">
        <v>25</v>
      </c>
      <c r="B1473" s="1">
        <v>45582.880891203706</v>
      </c>
      <c r="C1473" t="str">
        <f t="shared" si="292"/>
        <v>38</v>
      </c>
      <c r="D1473" t="s">
        <v>115</v>
      </c>
      <c r="E1473" t="s">
        <v>116</v>
      </c>
      <c r="F1473" t="s">
        <v>117</v>
      </c>
      <c r="H1473" t="s">
        <v>444</v>
      </c>
      <c r="L1473">
        <v>0</v>
      </c>
      <c r="M1473">
        <v>0</v>
      </c>
      <c r="N1473">
        <v>0</v>
      </c>
      <c r="O1473" s="1">
        <v>45582.880891203706</v>
      </c>
      <c r="P1473" t="s">
        <v>353</v>
      </c>
    </row>
    <row r="1474" spans="1:16" x14ac:dyDescent="0.3">
      <c r="A1474" t="s">
        <v>25</v>
      </c>
      <c r="B1474" s="1">
        <v>45582.88076388889</v>
      </c>
      <c r="C1474" t="str">
        <f t="shared" si="292"/>
        <v>38</v>
      </c>
      <c r="D1474" t="s">
        <v>115</v>
      </c>
      <c r="E1474" t="s">
        <v>116</v>
      </c>
      <c r="F1474" t="s">
        <v>117</v>
      </c>
      <c r="H1474" t="s">
        <v>445</v>
      </c>
      <c r="L1474">
        <v>0</v>
      </c>
      <c r="M1474">
        <v>0</v>
      </c>
      <c r="N1474">
        <v>0</v>
      </c>
      <c r="O1474" s="1">
        <v>45582.88076388889</v>
      </c>
      <c r="P1474" t="s">
        <v>353</v>
      </c>
    </row>
    <row r="1475" spans="1:16" x14ac:dyDescent="0.3">
      <c r="A1475" t="s">
        <v>25</v>
      </c>
      <c r="B1475" s="1">
        <v>45582.880659722221</v>
      </c>
      <c r="C1475" t="str">
        <f t="shared" si="292"/>
        <v>38</v>
      </c>
      <c r="D1475" t="s">
        <v>115</v>
      </c>
      <c r="E1475" t="s">
        <v>116</v>
      </c>
      <c r="F1475" t="s">
        <v>117</v>
      </c>
      <c r="H1475" t="s">
        <v>446</v>
      </c>
      <c r="L1475">
        <v>0</v>
      </c>
      <c r="M1475">
        <v>0</v>
      </c>
      <c r="N1475">
        <v>0</v>
      </c>
      <c r="O1475" s="1">
        <v>45582.880659722221</v>
      </c>
      <c r="P1475" t="s">
        <v>353</v>
      </c>
    </row>
    <row r="1476" spans="1:16" x14ac:dyDescent="0.3">
      <c r="A1476" t="s">
        <v>25</v>
      </c>
      <c r="B1476" s="1">
        <v>45582.880567129629</v>
      </c>
      <c r="C1476" t="str">
        <f t="shared" si="292"/>
        <v>38</v>
      </c>
      <c r="D1476" t="s">
        <v>115</v>
      </c>
      <c r="E1476" t="s">
        <v>116</v>
      </c>
      <c r="F1476" t="s">
        <v>117</v>
      </c>
      <c r="H1476" t="s">
        <v>447</v>
      </c>
      <c r="L1476">
        <v>0</v>
      </c>
      <c r="M1476">
        <v>0</v>
      </c>
      <c r="N1476">
        <v>0</v>
      </c>
      <c r="O1476" s="1">
        <v>45582.880567129629</v>
      </c>
      <c r="P1476" t="s">
        <v>353</v>
      </c>
    </row>
    <row r="1477" spans="1:16" x14ac:dyDescent="0.3">
      <c r="A1477" t="s">
        <v>25</v>
      </c>
      <c r="B1477" s="1">
        <v>45582.88040509259</v>
      </c>
      <c r="C1477" t="str">
        <f t="shared" si="292"/>
        <v>38</v>
      </c>
      <c r="D1477" t="s">
        <v>115</v>
      </c>
      <c r="E1477" t="s">
        <v>116</v>
      </c>
      <c r="F1477" t="s">
        <v>117</v>
      </c>
      <c r="H1477" t="s">
        <v>448</v>
      </c>
      <c r="L1477">
        <v>0</v>
      </c>
      <c r="M1477">
        <v>0</v>
      </c>
      <c r="N1477">
        <v>0</v>
      </c>
      <c r="O1477" s="1">
        <v>45582.88040509259</v>
      </c>
      <c r="P1477" t="s">
        <v>353</v>
      </c>
    </row>
    <row r="1478" spans="1:16" x14ac:dyDescent="0.3">
      <c r="A1478" t="s">
        <v>25</v>
      </c>
      <c r="B1478" s="1">
        <v>45582.880289351851</v>
      </c>
      <c r="C1478" t="str">
        <f t="shared" si="292"/>
        <v>38</v>
      </c>
      <c r="D1478" t="s">
        <v>115</v>
      </c>
      <c r="E1478" t="s">
        <v>116</v>
      </c>
      <c r="F1478" t="s">
        <v>117</v>
      </c>
      <c r="H1478" t="s">
        <v>449</v>
      </c>
      <c r="L1478">
        <v>0</v>
      </c>
      <c r="M1478">
        <v>0</v>
      </c>
      <c r="N1478">
        <v>0</v>
      </c>
      <c r="O1478" s="1">
        <v>45582.880289351851</v>
      </c>
      <c r="P1478" t="s">
        <v>353</v>
      </c>
    </row>
    <row r="1479" spans="1:16" x14ac:dyDescent="0.3">
      <c r="A1479" t="s">
        <v>25</v>
      </c>
      <c r="B1479" s="1">
        <v>45582.880185185182</v>
      </c>
      <c r="C1479" t="str">
        <f t="shared" si="292"/>
        <v>38</v>
      </c>
      <c r="D1479" t="s">
        <v>115</v>
      </c>
      <c r="E1479" t="s">
        <v>116</v>
      </c>
      <c r="F1479" t="s">
        <v>117</v>
      </c>
      <c r="H1479" t="s">
        <v>450</v>
      </c>
      <c r="L1479">
        <v>0</v>
      </c>
      <c r="M1479">
        <v>0</v>
      </c>
      <c r="N1479">
        <v>0</v>
      </c>
      <c r="O1479" s="1">
        <v>45582.880185185182</v>
      </c>
      <c r="P1479" t="s">
        <v>353</v>
      </c>
    </row>
    <row r="1480" spans="1:16" x14ac:dyDescent="0.3">
      <c r="A1480" t="s">
        <v>25</v>
      </c>
      <c r="B1480" s="1">
        <v>45582.880057870374</v>
      </c>
      <c r="C1480" t="str">
        <f t="shared" si="292"/>
        <v>38</v>
      </c>
      <c r="D1480" t="s">
        <v>115</v>
      </c>
      <c r="E1480" t="s">
        <v>116</v>
      </c>
      <c r="F1480" t="s">
        <v>117</v>
      </c>
      <c r="H1480" t="s">
        <v>451</v>
      </c>
      <c r="L1480">
        <v>0</v>
      </c>
      <c r="M1480">
        <v>0</v>
      </c>
      <c r="N1480">
        <v>0</v>
      </c>
      <c r="O1480" s="1">
        <v>45582.880057870374</v>
      </c>
      <c r="P1480" t="s">
        <v>353</v>
      </c>
    </row>
    <row r="1481" spans="1:16" x14ac:dyDescent="0.3">
      <c r="A1481" t="s">
        <v>25</v>
      </c>
      <c r="B1481" s="1">
        <v>45582.879953703705</v>
      </c>
      <c r="C1481" t="str">
        <f t="shared" si="292"/>
        <v>38</v>
      </c>
      <c r="D1481" t="s">
        <v>115</v>
      </c>
      <c r="E1481" t="s">
        <v>116</v>
      </c>
      <c r="F1481" t="s">
        <v>117</v>
      </c>
      <c r="H1481" t="s">
        <v>452</v>
      </c>
      <c r="L1481">
        <v>0</v>
      </c>
      <c r="M1481">
        <v>0</v>
      </c>
      <c r="N1481">
        <v>0</v>
      </c>
      <c r="O1481" s="1">
        <v>45582.879953703705</v>
      </c>
      <c r="P1481" t="s">
        <v>353</v>
      </c>
    </row>
    <row r="1482" spans="1:16" x14ac:dyDescent="0.3">
      <c r="A1482" t="s">
        <v>25</v>
      </c>
      <c r="B1482" s="1">
        <v>45582.879837962966</v>
      </c>
      <c r="C1482" t="str">
        <f t="shared" si="292"/>
        <v>38</v>
      </c>
      <c r="D1482" t="s">
        <v>115</v>
      </c>
      <c r="E1482" t="s">
        <v>116</v>
      </c>
      <c r="F1482" t="s">
        <v>117</v>
      </c>
      <c r="H1482" t="s">
        <v>453</v>
      </c>
      <c r="L1482">
        <v>0</v>
      </c>
      <c r="M1482">
        <v>0</v>
      </c>
      <c r="N1482">
        <v>0</v>
      </c>
      <c r="O1482" s="1">
        <v>45582.879837962966</v>
      </c>
      <c r="P1482" t="s">
        <v>353</v>
      </c>
    </row>
    <row r="1483" spans="1:16" x14ac:dyDescent="0.3">
      <c r="A1483" t="s">
        <v>25</v>
      </c>
      <c r="B1483" s="1">
        <v>45582.879594907405</v>
      </c>
      <c r="C1483" t="str">
        <f t="shared" si="292"/>
        <v>38</v>
      </c>
      <c r="D1483" t="s">
        <v>115</v>
      </c>
      <c r="E1483" t="s">
        <v>116</v>
      </c>
      <c r="F1483" t="s">
        <v>117</v>
      </c>
      <c r="H1483" t="s">
        <v>454</v>
      </c>
      <c r="L1483">
        <v>0</v>
      </c>
      <c r="M1483">
        <v>0</v>
      </c>
      <c r="N1483">
        <v>0</v>
      </c>
      <c r="O1483" s="1">
        <v>45582.879594907405</v>
      </c>
      <c r="P1483" t="s">
        <v>353</v>
      </c>
    </row>
    <row r="1484" spans="1:16" x14ac:dyDescent="0.3">
      <c r="A1484" t="s">
        <v>25</v>
      </c>
      <c r="B1484" s="1">
        <v>45582.879490740743</v>
      </c>
      <c r="C1484" t="str">
        <f t="shared" si="292"/>
        <v>38</v>
      </c>
      <c r="D1484" t="s">
        <v>115</v>
      </c>
      <c r="E1484" t="s">
        <v>116</v>
      </c>
      <c r="F1484" t="s">
        <v>117</v>
      </c>
      <c r="H1484" t="s">
        <v>455</v>
      </c>
      <c r="L1484">
        <v>0</v>
      </c>
      <c r="M1484">
        <v>0</v>
      </c>
      <c r="N1484">
        <v>0</v>
      </c>
      <c r="O1484" s="1">
        <v>45582.879490740743</v>
      </c>
      <c r="P1484" t="s">
        <v>353</v>
      </c>
    </row>
    <row r="1485" spans="1:16" x14ac:dyDescent="0.3">
      <c r="A1485" t="s">
        <v>25</v>
      </c>
      <c r="B1485" s="1">
        <v>45582.879386574074</v>
      </c>
      <c r="C1485" t="str">
        <f t="shared" si="292"/>
        <v>38</v>
      </c>
      <c r="D1485" t="s">
        <v>115</v>
      </c>
      <c r="E1485" t="s">
        <v>116</v>
      </c>
      <c r="F1485" t="s">
        <v>117</v>
      </c>
      <c r="H1485" t="s">
        <v>456</v>
      </c>
      <c r="L1485">
        <v>0</v>
      </c>
      <c r="M1485">
        <v>0</v>
      </c>
      <c r="N1485">
        <v>0</v>
      </c>
      <c r="O1485" s="1">
        <v>45582.879386574074</v>
      </c>
      <c r="P1485" t="s">
        <v>353</v>
      </c>
    </row>
    <row r="1486" spans="1:16" x14ac:dyDescent="0.3">
      <c r="A1486" t="s">
        <v>25</v>
      </c>
      <c r="B1486" s="1">
        <v>45582.879270833335</v>
      </c>
      <c r="C1486" t="str">
        <f t="shared" si="292"/>
        <v>38</v>
      </c>
      <c r="D1486" t="s">
        <v>115</v>
      </c>
      <c r="E1486" t="s">
        <v>116</v>
      </c>
      <c r="F1486" t="s">
        <v>117</v>
      </c>
      <c r="H1486" t="s">
        <v>457</v>
      </c>
      <c r="L1486">
        <v>0</v>
      </c>
      <c r="M1486">
        <v>0</v>
      </c>
      <c r="N1486">
        <v>0</v>
      </c>
      <c r="O1486" s="1">
        <v>45582.879270833335</v>
      </c>
      <c r="P1486" t="s">
        <v>353</v>
      </c>
    </row>
    <row r="1487" spans="1:16" x14ac:dyDescent="0.3">
      <c r="A1487" t="s">
        <v>25</v>
      </c>
      <c r="B1487" s="1">
        <v>45582.879166666666</v>
      </c>
      <c r="C1487" t="str">
        <f t="shared" si="292"/>
        <v>38</v>
      </c>
      <c r="D1487" t="s">
        <v>115</v>
      </c>
      <c r="E1487" t="s">
        <v>116</v>
      </c>
      <c r="F1487" t="s">
        <v>117</v>
      </c>
      <c r="H1487" t="s">
        <v>458</v>
      </c>
      <c r="L1487">
        <v>0</v>
      </c>
      <c r="M1487">
        <v>0</v>
      </c>
      <c r="N1487">
        <v>0</v>
      </c>
      <c r="O1487" s="1">
        <v>45582.879166666666</v>
      </c>
      <c r="P1487" t="s">
        <v>353</v>
      </c>
    </row>
    <row r="1488" spans="1:16" x14ac:dyDescent="0.3">
      <c r="A1488" t="s">
        <v>25</v>
      </c>
      <c r="B1488" s="1">
        <v>45582.878981481481</v>
      </c>
      <c r="C1488" t="str">
        <f t="shared" si="292"/>
        <v>38</v>
      </c>
      <c r="D1488" t="s">
        <v>115</v>
      </c>
      <c r="E1488" t="s">
        <v>116</v>
      </c>
      <c r="F1488" t="s">
        <v>117</v>
      </c>
      <c r="H1488" t="s">
        <v>459</v>
      </c>
      <c r="L1488">
        <v>0</v>
      </c>
      <c r="M1488">
        <v>0</v>
      </c>
      <c r="N1488">
        <v>0</v>
      </c>
      <c r="O1488" s="1">
        <v>45582.878981481481</v>
      </c>
      <c r="P1488" t="s">
        <v>353</v>
      </c>
    </row>
    <row r="1489" spans="1:16" x14ac:dyDescent="0.3">
      <c r="A1489" t="s">
        <v>25</v>
      </c>
      <c r="B1489" s="1">
        <v>45582.878842592596</v>
      </c>
      <c r="C1489" t="str">
        <f t="shared" si="292"/>
        <v>38</v>
      </c>
      <c r="D1489" t="s">
        <v>115</v>
      </c>
      <c r="E1489" t="s">
        <v>116</v>
      </c>
      <c r="F1489" t="s">
        <v>117</v>
      </c>
      <c r="H1489" t="s">
        <v>460</v>
      </c>
      <c r="L1489">
        <v>0</v>
      </c>
      <c r="M1489">
        <v>0</v>
      </c>
      <c r="N1489">
        <v>0</v>
      </c>
      <c r="O1489" s="1">
        <v>45582.878842592596</v>
      </c>
      <c r="P1489" t="s">
        <v>353</v>
      </c>
    </row>
    <row r="1490" spans="1:16" x14ac:dyDescent="0.3">
      <c r="A1490" t="s">
        <v>25</v>
      </c>
      <c r="B1490" s="1">
        <v>45582.87427083333</v>
      </c>
      <c r="C1490" t="str">
        <f t="shared" si="292"/>
        <v>38</v>
      </c>
      <c r="D1490" t="s">
        <v>115</v>
      </c>
      <c r="E1490" t="s">
        <v>116</v>
      </c>
      <c r="F1490" t="s">
        <v>117</v>
      </c>
      <c r="H1490" t="s">
        <v>461</v>
      </c>
      <c r="L1490">
        <v>0</v>
      </c>
      <c r="M1490">
        <v>0</v>
      </c>
      <c r="N1490">
        <v>0</v>
      </c>
      <c r="O1490" s="1">
        <v>45582.87427083333</v>
      </c>
      <c r="P1490" t="s">
        <v>353</v>
      </c>
    </row>
    <row r="1491" spans="1:16" x14ac:dyDescent="0.3">
      <c r="A1491" t="s">
        <v>25</v>
      </c>
      <c r="B1491" s="1">
        <v>45582.873541666668</v>
      </c>
      <c r="C1491" t="str">
        <f t="shared" si="292"/>
        <v>38</v>
      </c>
      <c r="D1491" t="s">
        <v>115</v>
      </c>
      <c r="E1491" t="s">
        <v>116</v>
      </c>
      <c r="F1491" t="s">
        <v>117</v>
      </c>
      <c r="H1491" t="s">
        <v>462</v>
      </c>
      <c r="L1491">
        <v>0</v>
      </c>
      <c r="M1491">
        <v>0</v>
      </c>
      <c r="N1491">
        <v>0</v>
      </c>
      <c r="O1491" s="1">
        <v>45582.873541666668</v>
      </c>
      <c r="P1491" t="s">
        <v>353</v>
      </c>
    </row>
    <row r="1492" spans="1:16" x14ac:dyDescent="0.3">
      <c r="A1492" t="s">
        <v>25</v>
      </c>
      <c r="B1492" s="1">
        <v>45582.873368055552</v>
      </c>
      <c r="C1492" t="str">
        <f t="shared" si="292"/>
        <v>38</v>
      </c>
      <c r="D1492" t="s">
        <v>115</v>
      </c>
      <c r="E1492" t="s">
        <v>116</v>
      </c>
      <c r="F1492" t="s">
        <v>117</v>
      </c>
      <c r="H1492" t="s">
        <v>463</v>
      </c>
      <c r="L1492">
        <v>0</v>
      </c>
      <c r="M1492">
        <v>0</v>
      </c>
      <c r="N1492">
        <v>0</v>
      </c>
      <c r="O1492" s="1">
        <v>45582.873368055552</v>
      </c>
      <c r="P1492" t="s">
        <v>353</v>
      </c>
    </row>
    <row r="1493" spans="1:16" x14ac:dyDescent="0.3">
      <c r="A1493" t="s">
        <v>25</v>
      </c>
      <c r="B1493" s="1">
        <v>45582.873148148145</v>
      </c>
      <c r="C1493" t="str">
        <f t="shared" si="292"/>
        <v>38</v>
      </c>
      <c r="D1493" t="s">
        <v>115</v>
      </c>
      <c r="E1493" t="s">
        <v>116</v>
      </c>
      <c r="F1493" t="s">
        <v>117</v>
      </c>
      <c r="H1493" t="s">
        <v>464</v>
      </c>
      <c r="L1493">
        <v>0</v>
      </c>
      <c r="M1493">
        <v>0</v>
      </c>
      <c r="N1493">
        <v>0</v>
      </c>
      <c r="O1493" s="1">
        <v>45582.873148148145</v>
      </c>
      <c r="P1493" t="s">
        <v>353</v>
      </c>
    </row>
    <row r="1494" spans="1:16" x14ac:dyDescent="0.3">
      <c r="A1494" t="s">
        <v>25</v>
      </c>
      <c r="B1494" s="1">
        <v>45582.816944444443</v>
      </c>
      <c r="C1494" t="str">
        <f t="shared" si="292"/>
        <v>38</v>
      </c>
      <c r="D1494" t="s">
        <v>115</v>
      </c>
      <c r="E1494" t="s">
        <v>116</v>
      </c>
      <c r="F1494" t="s">
        <v>117</v>
      </c>
      <c r="H1494" t="s">
        <v>465</v>
      </c>
      <c r="L1494">
        <v>0</v>
      </c>
      <c r="M1494">
        <v>0</v>
      </c>
      <c r="N1494">
        <v>0</v>
      </c>
      <c r="O1494" s="1">
        <v>45582.816944444443</v>
      </c>
      <c r="P1494" t="s">
        <v>466</v>
      </c>
    </row>
    <row r="1495" spans="1:16" x14ac:dyDescent="0.3">
      <c r="A1495" t="s">
        <v>25</v>
      </c>
      <c r="B1495" s="1">
        <v>45582.816944444443</v>
      </c>
      <c r="C1495" t="str">
        <f>"41"</f>
        <v>41</v>
      </c>
      <c r="D1495" t="s">
        <v>120</v>
      </c>
      <c r="E1495" t="s">
        <v>116</v>
      </c>
      <c r="F1495" t="s">
        <v>117</v>
      </c>
      <c r="H1495" t="s">
        <v>465</v>
      </c>
      <c r="I1495" t="str">
        <f>"101050002024362"</f>
        <v>101050002024362</v>
      </c>
      <c r="J1495" t="str">
        <f t="shared" ref="J1495:J1508" si="293">"514568"</f>
        <v>514568</v>
      </c>
      <c r="K1495" t="s">
        <v>87</v>
      </c>
      <c r="L1495">
        <v>49</v>
      </c>
      <c r="M1495">
        <v>49</v>
      </c>
      <c r="N1495">
        <v>0</v>
      </c>
      <c r="O1495" s="1">
        <v>45582.816944444443</v>
      </c>
      <c r="P1495" t="s">
        <v>466</v>
      </c>
    </row>
    <row r="1496" spans="1:16" x14ac:dyDescent="0.3">
      <c r="A1496" t="s">
        <v>25</v>
      </c>
      <c r="B1496" s="1">
        <v>45582.816932870373</v>
      </c>
      <c r="C1496" t="str">
        <f>"39"</f>
        <v>39</v>
      </c>
      <c r="D1496" t="s">
        <v>467</v>
      </c>
      <c r="E1496" t="s">
        <v>116</v>
      </c>
      <c r="F1496" t="s">
        <v>117</v>
      </c>
      <c r="G1496" t="s">
        <v>221</v>
      </c>
      <c r="H1496" t="s">
        <v>465</v>
      </c>
      <c r="I1496" t="str">
        <f>"101050002024362"</f>
        <v>101050002024362</v>
      </c>
      <c r="J1496" t="str">
        <f t="shared" si="293"/>
        <v>514568</v>
      </c>
      <c r="K1496" t="s">
        <v>87</v>
      </c>
      <c r="L1496">
        <v>0</v>
      </c>
      <c r="M1496">
        <v>49</v>
      </c>
      <c r="N1496">
        <v>49</v>
      </c>
      <c r="O1496" s="1">
        <v>45582.816932870373</v>
      </c>
      <c r="P1496" t="s">
        <v>466</v>
      </c>
    </row>
    <row r="1497" spans="1:16" x14ac:dyDescent="0.3">
      <c r="A1497" t="s">
        <v>25</v>
      </c>
      <c r="B1497" s="1">
        <v>45582.816932870373</v>
      </c>
      <c r="C1497" t="str">
        <f>"41"</f>
        <v>41</v>
      </c>
      <c r="D1497" t="s">
        <v>120</v>
      </c>
      <c r="E1497" t="s">
        <v>116</v>
      </c>
      <c r="F1497" t="s">
        <v>117</v>
      </c>
      <c r="H1497" t="s">
        <v>465</v>
      </c>
      <c r="I1497" t="str">
        <f>"101050002024361"</f>
        <v>101050002024361</v>
      </c>
      <c r="J1497" t="str">
        <f t="shared" si="293"/>
        <v>514568</v>
      </c>
      <c r="K1497" t="s">
        <v>87</v>
      </c>
      <c r="L1497">
        <v>49</v>
      </c>
      <c r="M1497">
        <v>49</v>
      </c>
      <c r="N1497">
        <v>0</v>
      </c>
      <c r="O1497" s="1">
        <v>45582.816932870373</v>
      </c>
      <c r="P1497" t="s">
        <v>466</v>
      </c>
    </row>
    <row r="1498" spans="1:16" x14ac:dyDescent="0.3">
      <c r="A1498" t="s">
        <v>25</v>
      </c>
      <c r="B1498" s="1">
        <v>45582.816932870373</v>
      </c>
      <c r="C1498" t="str">
        <f>"39"</f>
        <v>39</v>
      </c>
      <c r="D1498" t="s">
        <v>467</v>
      </c>
      <c r="E1498" t="s">
        <v>116</v>
      </c>
      <c r="F1498" t="s">
        <v>117</v>
      </c>
      <c r="G1498" t="s">
        <v>221</v>
      </c>
      <c r="H1498" t="s">
        <v>465</v>
      </c>
      <c r="I1498" t="str">
        <f>"101050002024361"</f>
        <v>101050002024361</v>
      </c>
      <c r="J1498" t="str">
        <f t="shared" si="293"/>
        <v>514568</v>
      </c>
      <c r="K1498" t="s">
        <v>87</v>
      </c>
      <c r="L1498">
        <v>0</v>
      </c>
      <c r="M1498">
        <v>49</v>
      </c>
      <c r="N1498">
        <v>49</v>
      </c>
      <c r="O1498" s="1">
        <v>45582.816932870373</v>
      </c>
      <c r="P1498" t="s">
        <v>466</v>
      </c>
    </row>
    <row r="1499" spans="1:16" x14ac:dyDescent="0.3">
      <c r="A1499" t="s">
        <v>25</v>
      </c>
      <c r="B1499" s="1">
        <v>45582.816932870373</v>
      </c>
      <c r="C1499" t="str">
        <f>"41"</f>
        <v>41</v>
      </c>
      <c r="D1499" t="s">
        <v>120</v>
      </c>
      <c r="E1499" t="s">
        <v>116</v>
      </c>
      <c r="F1499" t="s">
        <v>117</v>
      </c>
      <c r="H1499" t="s">
        <v>465</v>
      </c>
      <c r="I1499" t="str">
        <f>"101050002024360"</f>
        <v>101050002024360</v>
      </c>
      <c r="J1499" t="str">
        <f t="shared" si="293"/>
        <v>514568</v>
      </c>
      <c r="K1499" t="s">
        <v>87</v>
      </c>
      <c r="L1499">
        <v>49</v>
      </c>
      <c r="M1499">
        <v>49</v>
      </c>
      <c r="N1499">
        <v>0</v>
      </c>
      <c r="O1499" s="1">
        <v>45582.816932870373</v>
      </c>
      <c r="P1499" t="s">
        <v>466</v>
      </c>
    </row>
    <row r="1500" spans="1:16" x14ac:dyDescent="0.3">
      <c r="A1500" t="s">
        <v>25</v>
      </c>
      <c r="B1500" s="1">
        <v>45582.816921296297</v>
      </c>
      <c r="C1500" t="str">
        <f>"39"</f>
        <v>39</v>
      </c>
      <c r="D1500" t="s">
        <v>467</v>
      </c>
      <c r="E1500" t="s">
        <v>116</v>
      </c>
      <c r="F1500" t="s">
        <v>117</v>
      </c>
      <c r="G1500" t="s">
        <v>221</v>
      </c>
      <c r="H1500" t="s">
        <v>465</v>
      </c>
      <c r="I1500" t="str">
        <f>"101050002024360"</f>
        <v>101050002024360</v>
      </c>
      <c r="J1500" t="str">
        <f t="shared" si="293"/>
        <v>514568</v>
      </c>
      <c r="K1500" t="s">
        <v>87</v>
      </c>
      <c r="L1500">
        <v>0</v>
      </c>
      <c r="M1500">
        <v>49</v>
      </c>
      <c r="N1500">
        <v>49</v>
      </c>
      <c r="O1500" s="1">
        <v>45582.816921296297</v>
      </c>
      <c r="P1500" t="s">
        <v>466</v>
      </c>
    </row>
    <row r="1501" spans="1:16" x14ac:dyDescent="0.3">
      <c r="A1501" t="s">
        <v>25</v>
      </c>
      <c r="B1501" s="1">
        <v>45582.816921296297</v>
      </c>
      <c r="C1501" t="str">
        <f>"41"</f>
        <v>41</v>
      </c>
      <c r="D1501" t="s">
        <v>120</v>
      </c>
      <c r="E1501" t="s">
        <v>116</v>
      </c>
      <c r="F1501" t="s">
        <v>117</v>
      </c>
      <c r="H1501" t="s">
        <v>465</v>
      </c>
      <c r="I1501" t="str">
        <f>"101050001976340"</f>
        <v>101050001976340</v>
      </c>
      <c r="J1501" t="str">
        <f t="shared" si="293"/>
        <v>514568</v>
      </c>
      <c r="K1501" t="s">
        <v>87</v>
      </c>
      <c r="L1501">
        <v>49</v>
      </c>
      <c r="M1501">
        <v>49</v>
      </c>
      <c r="N1501">
        <v>0</v>
      </c>
      <c r="O1501" s="1">
        <v>45582.816921296297</v>
      </c>
      <c r="P1501" t="s">
        <v>466</v>
      </c>
    </row>
    <row r="1502" spans="1:16" x14ac:dyDescent="0.3">
      <c r="A1502" t="s">
        <v>25</v>
      </c>
      <c r="B1502" s="1">
        <v>45582.816921296297</v>
      </c>
      <c r="C1502" t="str">
        <f>"39"</f>
        <v>39</v>
      </c>
      <c r="D1502" t="s">
        <v>467</v>
      </c>
      <c r="E1502" t="s">
        <v>116</v>
      </c>
      <c r="F1502" t="s">
        <v>117</v>
      </c>
      <c r="G1502" t="s">
        <v>221</v>
      </c>
      <c r="H1502" t="s">
        <v>465</v>
      </c>
      <c r="I1502" t="str">
        <f>"101050001976340"</f>
        <v>101050001976340</v>
      </c>
      <c r="J1502" t="str">
        <f t="shared" si="293"/>
        <v>514568</v>
      </c>
      <c r="K1502" t="s">
        <v>87</v>
      </c>
      <c r="L1502">
        <v>0</v>
      </c>
      <c r="M1502">
        <v>49</v>
      </c>
      <c r="N1502">
        <v>49</v>
      </c>
      <c r="O1502" s="1">
        <v>45582.816921296297</v>
      </c>
      <c r="P1502" t="s">
        <v>466</v>
      </c>
    </row>
    <row r="1503" spans="1:16" x14ac:dyDescent="0.3">
      <c r="A1503" t="s">
        <v>25</v>
      </c>
      <c r="B1503" s="1">
        <v>45582.816921296297</v>
      </c>
      <c r="C1503" t="str">
        <f>"41"</f>
        <v>41</v>
      </c>
      <c r="D1503" t="s">
        <v>120</v>
      </c>
      <c r="E1503" t="s">
        <v>116</v>
      </c>
      <c r="F1503" t="s">
        <v>117</v>
      </c>
      <c r="H1503" t="s">
        <v>465</v>
      </c>
      <c r="I1503" t="str">
        <f>"101050001976099"</f>
        <v>101050001976099</v>
      </c>
      <c r="J1503" t="str">
        <f t="shared" si="293"/>
        <v>514568</v>
      </c>
      <c r="K1503" t="s">
        <v>87</v>
      </c>
      <c r="L1503">
        <v>49</v>
      </c>
      <c r="M1503">
        <v>49</v>
      </c>
      <c r="N1503">
        <v>0</v>
      </c>
      <c r="O1503" s="1">
        <v>45582.816921296297</v>
      </c>
      <c r="P1503" t="s">
        <v>466</v>
      </c>
    </row>
    <row r="1504" spans="1:16" x14ac:dyDescent="0.3">
      <c r="A1504" t="s">
        <v>25</v>
      </c>
      <c r="B1504" s="1">
        <v>45582.81690972222</v>
      </c>
      <c r="C1504" t="str">
        <f>"39"</f>
        <v>39</v>
      </c>
      <c r="D1504" t="s">
        <v>467</v>
      </c>
      <c r="E1504" t="s">
        <v>116</v>
      </c>
      <c r="F1504" t="s">
        <v>117</v>
      </c>
      <c r="G1504" t="s">
        <v>221</v>
      </c>
      <c r="H1504" t="s">
        <v>465</v>
      </c>
      <c r="I1504" t="str">
        <f>"101050001976099"</f>
        <v>101050001976099</v>
      </c>
      <c r="J1504" t="str">
        <f t="shared" si="293"/>
        <v>514568</v>
      </c>
      <c r="K1504" t="s">
        <v>87</v>
      </c>
      <c r="L1504">
        <v>0</v>
      </c>
      <c r="M1504">
        <v>49</v>
      </c>
      <c r="N1504">
        <v>49</v>
      </c>
      <c r="O1504" s="1">
        <v>45582.81690972222</v>
      </c>
      <c r="P1504" t="s">
        <v>466</v>
      </c>
    </row>
    <row r="1505" spans="1:16" x14ac:dyDescent="0.3">
      <c r="A1505" t="s">
        <v>25</v>
      </c>
      <c r="B1505" s="1">
        <v>45582.81690972222</v>
      </c>
      <c r="C1505" t="str">
        <f>"41"</f>
        <v>41</v>
      </c>
      <c r="D1505" t="s">
        <v>120</v>
      </c>
      <c r="E1505" t="s">
        <v>116</v>
      </c>
      <c r="F1505" t="s">
        <v>117</v>
      </c>
      <c r="H1505" t="s">
        <v>465</v>
      </c>
      <c r="I1505" t="str">
        <f>"101050001975240"</f>
        <v>101050001975240</v>
      </c>
      <c r="J1505" t="str">
        <f t="shared" si="293"/>
        <v>514568</v>
      </c>
      <c r="K1505" t="s">
        <v>87</v>
      </c>
      <c r="L1505">
        <v>49</v>
      </c>
      <c r="M1505">
        <v>49</v>
      </c>
      <c r="N1505">
        <v>0</v>
      </c>
      <c r="O1505" s="1">
        <v>45582.81690972222</v>
      </c>
      <c r="P1505" t="s">
        <v>466</v>
      </c>
    </row>
    <row r="1506" spans="1:16" x14ac:dyDescent="0.3">
      <c r="A1506" t="s">
        <v>25</v>
      </c>
      <c r="B1506" s="1">
        <v>45582.81690972222</v>
      </c>
      <c r="C1506" t="str">
        <f>"39"</f>
        <v>39</v>
      </c>
      <c r="D1506" t="s">
        <v>467</v>
      </c>
      <c r="E1506" t="s">
        <v>116</v>
      </c>
      <c r="F1506" t="s">
        <v>117</v>
      </c>
      <c r="G1506" t="s">
        <v>221</v>
      </c>
      <c r="H1506" t="s">
        <v>465</v>
      </c>
      <c r="I1506" t="str">
        <f>"101050001975240"</f>
        <v>101050001975240</v>
      </c>
      <c r="J1506" t="str">
        <f t="shared" si="293"/>
        <v>514568</v>
      </c>
      <c r="K1506" t="s">
        <v>87</v>
      </c>
      <c r="L1506">
        <v>0</v>
      </c>
      <c r="M1506">
        <v>49</v>
      </c>
      <c r="N1506">
        <v>49</v>
      </c>
      <c r="O1506" s="1">
        <v>45582.81690972222</v>
      </c>
      <c r="P1506" t="s">
        <v>466</v>
      </c>
    </row>
    <row r="1507" spans="1:16" x14ac:dyDescent="0.3">
      <c r="A1507" t="s">
        <v>25</v>
      </c>
      <c r="B1507" s="1">
        <v>45582.81690972222</v>
      </c>
      <c r="C1507" t="str">
        <f>"41"</f>
        <v>41</v>
      </c>
      <c r="D1507" t="s">
        <v>120</v>
      </c>
      <c r="E1507" t="s">
        <v>116</v>
      </c>
      <c r="F1507" t="s">
        <v>117</v>
      </c>
      <c r="H1507" t="s">
        <v>465</v>
      </c>
      <c r="I1507" t="str">
        <f>"101050001974412"</f>
        <v>101050001974412</v>
      </c>
      <c r="J1507" t="str">
        <f t="shared" si="293"/>
        <v>514568</v>
      </c>
      <c r="K1507" t="s">
        <v>87</v>
      </c>
      <c r="L1507">
        <v>49</v>
      </c>
      <c r="M1507">
        <v>49</v>
      </c>
      <c r="N1507">
        <v>0</v>
      </c>
      <c r="O1507" s="1">
        <v>45582.81690972222</v>
      </c>
      <c r="P1507" t="s">
        <v>466</v>
      </c>
    </row>
    <row r="1508" spans="1:16" x14ac:dyDescent="0.3">
      <c r="A1508" t="s">
        <v>25</v>
      </c>
      <c r="B1508" s="1">
        <v>45582.81689814815</v>
      </c>
      <c r="C1508" t="str">
        <f>"39"</f>
        <v>39</v>
      </c>
      <c r="D1508" t="s">
        <v>467</v>
      </c>
      <c r="E1508" t="s">
        <v>116</v>
      </c>
      <c r="F1508" t="s">
        <v>117</v>
      </c>
      <c r="G1508" t="s">
        <v>221</v>
      </c>
      <c r="H1508" t="s">
        <v>465</v>
      </c>
      <c r="I1508" t="str">
        <f>"101050001974412"</f>
        <v>101050001974412</v>
      </c>
      <c r="J1508" t="str">
        <f t="shared" si="293"/>
        <v>514568</v>
      </c>
      <c r="K1508" t="s">
        <v>87</v>
      </c>
      <c r="L1508">
        <v>0</v>
      </c>
      <c r="M1508">
        <v>49</v>
      </c>
      <c r="N1508">
        <v>49</v>
      </c>
      <c r="O1508" s="1">
        <v>45582.81689814815</v>
      </c>
      <c r="P1508" t="s">
        <v>466</v>
      </c>
    </row>
    <row r="1509" spans="1:16" x14ac:dyDescent="0.3">
      <c r="A1509" t="s">
        <v>25</v>
      </c>
      <c r="B1509" s="1">
        <v>45582.708784722221</v>
      </c>
      <c r="C1509" t="str">
        <f>"41"</f>
        <v>41</v>
      </c>
      <c r="D1509" t="s">
        <v>120</v>
      </c>
      <c r="E1509" t="s">
        <v>116</v>
      </c>
      <c r="F1509" t="s">
        <v>117</v>
      </c>
      <c r="H1509" t="s">
        <v>468</v>
      </c>
      <c r="I1509" t="str">
        <f>"101570001108401"</f>
        <v>101570001108401</v>
      </c>
      <c r="J1509" t="str">
        <f>"48205"</f>
        <v>48205</v>
      </c>
      <c r="K1509" t="s">
        <v>20</v>
      </c>
      <c r="L1509">
        <v>49</v>
      </c>
      <c r="M1509">
        <v>49</v>
      </c>
      <c r="N1509">
        <v>0</v>
      </c>
      <c r="O1509" s="1">
        <v>45582.708784722221</v>
      </c>
      <c r="P1509" t="s">
        <v>466</v>
      </c>
    </row>
    <row r="1510" spans="1:16" x14ac:dyDescent="0.3">
      <c r="A1510" t="s">
        <v>25</v>
      </c>
      <c r="B1510" s="1">
        <v>45582.708784722221</v>
      </c>
      <c r="C1510" t="str">
        <f>"39"</f>
        <v>39</v>
      </c>
      <c r="D1510" t="s">
        <v>467</v>
      </c>
      <c r="E1510" t="s">
        <v>116</v>
      </c>
      <c r="F1510" t="s">
        <v>117</v>
      </c>
      <c r="G1510" t="s">
        <v>221</v>
      </c>
      <c r="H1510" t="s">
        <v>468</v>
      </c>
      <c r="I1510" t="str">
        <f>"101570001108401"</f>
        <v>101570001108401</v>
      </c>
      <c r="J1510" t="str">
        <f>"48205"</f>
        <v>48205</v>
      </c>
      <c r="K1510" t="s">
        <v>20</v>
      </c>
      <c r="L1510">
        <v>0</v>
      </c>
      <c r="M1510">
        <v>49</v>
      </c>
      <c r="N1510">
        <v>49</v>
      </c>
      <c r="O1510" s="1">
        <v>45582.708784722221</v>
      </c>
      <c r="P1510" t="s">
        <v>466</v>
      </c>
    </row>
    <row r="1511" spans="1:16" x14ac:dyDescent="0.3">
      <c r="A1511" t="s">
        <v>25</v>
      </c>
      <c r="B1511" s="1">
        <v>45582.704930555556</v>
      </c>
      <c r="C1511" t="str">
        <f>"38"</f>
        <v>38</v>
      </c>
      <c r="D1511" t="s">
        <v>115</v>
      </c>
      <c r="E1511" t="s">
        <v>116</v>
      </c>
      <c r="F1511" t="s">
        <v>117</v>
      </c>
      <c r="H1511" t="s">
        <v>469</v>
      </c>
      <c r="L1511">
        <v>0</v>
      </c>
      <c r="M1511">
        <v>0</v>
      </c>
      <c r="N1511">
        <v>0</v>
      </c>
      <c r="O1511" s="1">
        <v>45582.704930555556</v>
      </c>
      <c r="P1511" t="s">
        <v>470</v>
      </c>
    </row>
    <row r="1512" spans="1:16" x14ac:dyDescent="0.3">
      <c r="A1512" t="s">
        <v>25</v>
      </c>
      <c r="B1512" s="1">
        <v>45582.704930555556</v>
      </c>
      <c r="C1512" t="str">
        <f>"41"</f>
        <v>41</v>
      </c>
      <c r="D1512" t="s">
        <v>120</v>
      </c>
      <c r="E1512" t="s">
        <v>116</v>
      </c>
      <c r="F1512" t="s">
        <v>117</v>
      </c>
      <c r="H1512" t="s">
        <v>469</v>
      </c>
      <c r="I1512" t="str">
        <f>"101050002027188"</f>
        <v>101050002027188</v>
      </c>
      <c r="J1512" t="str">
        <f>"514719"</f>
        <v>514719</v>
      </c>
      <c r="K1512" t="s">
        <v>0</v>
      </c>
      <c r="L1512">
        <v>49</v>
      </c>
      <c r="M1512">
        <v>49</v>
      </c>
      <c r="N1512">
        <v>0</v>
      </c>
      <c r="O1512" s="1">
        <v>45582.704930555556</v>
      </c>
      <c r="P1512" t="s">
        <v>470</v>
      </c>
    </row>
    <row r="1513" spans="1:16" x14ac:dyDescent="0.3">
      <c r="A1513" t="s">
        <v>25</v>
      </c>
      <c r="B1513" s="1">
        <v>45582.704930555556</v>
      </c>
      <c r="C1513" t="str">
        <f>"41"</f>
        <v>41</v>
      </c>
      <c r="D1513" t="s">
        <v>120</v>
      </c>
      <c r="E1513" t="s">
        <v>116</v>
      </c>
      <c r="F1513" t="s">
        <v>117</v>
      </c>
      <c r="H1513" t="s">
        <v>469</v>
      </c>
      <c r="I1513" t="str">
        <f>"101050002027187"</f>
        <v>101050002027187</v>
      </c>
      <c r="J1513" t="str">
        <f>"514719"</f>
        <v>514719</v>
      </c>
      <c r="K1513" t="s">
        <v>0</v>
      </c>
      <c r="L1513">
        <v>49</v>
      </c>
      <c r="M1513">
        <v>49</v>
      </c>
      <c r="N1513">
        <v>0</v>
      </c>
      <c r="O1513" s="1">
        <v>45582.704930555556</v>
      </c>
      <c r="P1513" t="s">
        <v>470</v>
      </c>
    </row>
    <row r="1514" spans="1:16" x14ac:dyDescent="0.3">
      <c r="A1514" t="s">
        <v>25</v>
      </c>
      <c r="B1514" s="1">
        <v>45582.642685185187</v>
      </c>
      <c r="C1514" t="str">
        <f>"38"</f>
        <v>38</v>
      </c>
      <c r="D1514" t="s">
        <v>115</v>
      </c>
      <c r="E1514" t="s">
        <v>116</v>
      </c>
      <c r="F1514" t="s">
        <v>117</v>
      </c>
      <c r="H1514" t="s">
        <v>471</v>
      </c>
      <c r="L1514">
        <v>0</v>
      </c>
      <c r="M1514">
        <v>0</v>
      </c>
      <c r="N1514">
        <v>0</v>
      </c>
      <c r="O1514" s="1">
        <v>45582.642685185187</v>
      </c>
      <c r="P1514" t="s">
        <v>470</v>
      </c>
    </row>
    <row r="1515" spans="1:16" x14ac:dyDescent="0.3">
      <c r="A1515" t="s">
        <v>25</v>
      </c>
      <c r="B1515" s="1">
        <v>45582.642685185187</v>
      </c>
      <c r="C1515" t="str">
        <f>"41"</f>
        <v>41</v>
      </c>
      <c r="D1515" t="s">
        <v>120</v>
      </c>
      <c r="E1515" t="s">
        <v>116</v>
      </c>
      <c r="F1515" t="s">
        <v>117</v>
      </c>
      <c r="H1515" t="s">
        <v>471</v>
      </c>
      <c r="I1515" t="str">
        <f>"101050002025283"</f>
        <v>101050002025283</v>
      </c>
      <c r="J1515" t="str">
        <f>"128450"</f>
        <v>128450</v>
      </c>
      <c r="K1515" t="s">
        <v>10</v>
      </c>
      <c r="L1515">
        <v>49</v>
      </c>
      <c r="M1515">
        <v>49</v>
      </c>
      <c r="N1515">
        <v>0</v>
      </c>
      <c r="O1515" s="1">
        <v>45582.642685185187</v>
      </c>
      <c r="P1515" t="s">
        <v>470</v>
      </c>
    </row>
    <row r="1516" spans="1:16" x14ac:dyDescent="0.3">
      <c r="A1516" t="s">
        <v>25</v>
      </c>
      <c r="B1516" s="1">
        <v>45582.64267361111</v>
      </c>
      <c r="C1516" t="str">
        <f>"39"</f>
        <v>39</v>
      </c>
      <c r="D1516" t="s">
        <v>467</v>
      </c>
      <c r="E1516" t="s">
        <v>116</v>
      </c>
      <c r="F1516" t="s">
        <v>117</v>
      </c>
      <c r="G1516" t="s">
        <v>221</v>
      </c>
      <c r="H1516" t="s">
        <v>471</v>
      </c>
      <c r="I1516" t="str">
        <f>"101050002025283"</f>
        <v>101050002025283</v>
      </c>
      <c r="J1516" t="str">
        <f>"128450"</f>
        <v>128450</v>
      </c>
      <c r="K1516" t="s">
        <v>10</v>
      </c>
      <c r="L1516">
        <v>0</v>
      </c>
      <c r="M1516">
        <v>49</v>
      </c>
      <c r="N1516">
        <v>49</v>
      </c>
      <c r="O1516" s="1">
        <v>45582.64267361111</v>
      </c>
      <c r="P1516" t="s">
        <v>470</v>
      </c>
    </row>
    <row r="1517" spans="1:16" x14ac:dyDescent="0.3">
      <c r="A1517" t="s">
        <v>25</v>
      </c>
      <c r="B1517" s="1">
        <v>45582.577314814815</v>
      </c>
      <c r="C1517" t="str">
        <f t="shared" ref="C1517:C1540" si="294">"38"</f>
        <v>38</v>
      </c>
      <c r="D1517" t="s">
        <v>115</v>
      </c>
      <c r="E1517" t="s">
        <v>116</v>
      </c>
      <c r="F1517" t="s">
        <v>117</v>
      </c>
      <c r="H1517" t="s">
        <v>472</v>
      </c>
      <c r="L1517">
        <v>0</v>
      </c>
      <c r="M1517">
        <v>0</v>
      </c>
      <c r="N1517">
        <v>0</v>
      </c>
      <c r="O1517" s="1">
        <v>45582.577314814815</v>
      </c>
      <c r="P1517" t="s">
        <v>473</v>
      </c>
    </row>
    <row r="1518" spans="1:16" x14ac:dyDescent="0.3">
      <c r="A1518" t="s">
        <v>25</v>
      </c>
      <c r="B1518" s="1">
        <v>45582.577245370368</v>
      </c>
      <c r="C1518" t="str">
        <f t="shared" si="294"/>
        <v>38</v>
      </c>
      <c r="D1518" t="s">
        <v>115</v>
      </c>
      <c r="E1518" t="s">
        <v>116</v>
      </c>
      <c r="F1518" t="s">
        <v>117</v>
      </c>
      <c r="H1518" t="s">
        <v>474</v>
      </c>
      <c r="L1518">
        <v>0</v>
      </c>
      <c r="M1518">
        <v>0</v>
      </c>
      <c r="N1518">
        <v>0</v>
      </c>
      <c r="O1518" s="1">
        <v>45582.577245370368</v>
      </c>
      <c r="P1518" t="s">
        <v>473</v>
      </c>
    </row>
    <row r="1519" spans="1:16" x14ac:dyDescent="0.3">
      <c r="A1519" t="s">
        <v>25</v>
      </c>
      <c r="B1519" s="1">
        <v>45582.577175925922</v>
      </c>
      <c r="C1519" t="str">
        <f t="shared" si="294"/>
        <v>38</v>
      </c>
      <c r="D1519" t="s">
        <v>115</v>
      </c>
      <c r="E1519" t="s">
        <v>116</v>
      </c>
      <c r="F1519" t="s">
        <v>117</v>
      </c>
      <c r="H1519" t="s">
        <v>475</v>
      </c>
      <c r="L1519">
        <v>0</v>
      </c>
      <c r="M1519">
        <v>0</v>
      </c>
      <c r="N1519">
        <v>0</v>
      </c>
      <c r="O1519" s="1">
        <v>45582.577175925922</v>
      </c>
      <c r="P1519" t="s">
        <v>473</v>
      </c>
    </row>
    <row r="1520" spans="1:16" x14ac:dyDescent="0.3">
      <c r="A1520" t="s">
        <v>25</v>
      </c>
      <c r="B1520" s="1">
        <v>45582.57708333333</v>
      </c>
      <c r="C1520" t="str">
        <f t="shared" si="294"/>
        <v>38</v>
      </c>
      <c r="D1520" t="s">
        <v>115</v>
      </c>
      <c r="E1520" t="s">
        <v>116</v>
      </c>
      <c r="F1520" t="s">
        <v>117</v>
      </c>
      <c r="H1520" t="s">
        <v>476</v>
      </c>
      <c r="L1520">
        <v>0</v>
      </c>
      <c r="M1520">
        <v>0</v>
      </c>
      <c r="N1520">
        <v>0</v>
      </c>
      <c r="O1520" s="1">
        <v>45582.57708333333</v>
      </c>
      <c r="P1520" t="s">
        <v>473</v>
      </c>
    </row>
    <row r="1521" spans="1:16" x14ac:dyDescent="0.3">
      <c r="A1521" t="s">
        <v>25</v>
      </c>
      <c r="B1521" s="1">
        <v>45582.577002314814</v>
      </c>
      <c r="C1521" t="str">
        <f t="shared" si="294"/>
        <v>38</v>
      </c>
      <c r="D1521" t="s">
        <v>115</v>
      </c>
      <c r="E1521" t="s">
        <v>116</v>
      </c>
      <c r="F1521" t="s">
        <v>117</v>
      </c>
      <c r="H1521" t="s">
        <v>477</v>
      </c>
      <c r="L1521">
        <v>0</v>
      </c>
      <c r="M1521">
        <v>0</v>
      </c>
      <c r="N1521">
        <v>0</v>
      </c>
      <c r="O1521" s="1">
        <v>45582.577002314814</v>
      </c>
      <c r="P1521" t="s">
        <v>473</v>
      </c>
    </row>
    <row r="1522" spans="1:16" x14ac:dyDescent="0.3">
      <c r="A1522" t="s">
        <v>25</v>
      </c>
      <c r="B1522" s="1">
        <v>45582.576921296299</v>
      </c>
      <c r="C1522" t="str">
        <f t="shared" si="294"/>
        <v>38</v>
      </c>
      <c r="D1522" t="s">
        <v>115</v>
      </c>
      <c r="E1522" t="s">
        <v>116</v>
      </c>
      <c r="F1522" t="s">
        <v>117</v>
      </c>
      <c r="H1522" t="s">
        <v>478</v>
      </c>
      <c r="L1522">
        <v>0</v>
      </c>
      <c r="M1522">
        <v>0</v>
      </c>
      <c r="N1522">
        <v>0</v>
      </c>
      <c r="O1522" s="1">
        <v>45582.576921296299</v>
      </c>
      <c r="P1522" t="s">
        <v>473</v>
      </c>
    </row>
    <row r="1523" spans="1:16" x14ac:dyDescent="0.3">
      <c r="A1523" t="s">
        <v>25</v>
      </c>
      <c r="B1523" s="1">
        <v>45582.576851851853</v>
      </c>
      <c r="C1523" t="str">
        <f t="shared" si="294"/>
        <v>38</v>
      </c>
      <c r="D1523" t="s">
        <v>115</v>
      </c>
      <c r="E1523" t="s">
        <v>116</v>
      </c>
      <c r="F1523" t="s">
        <v>117</v>
      </c>
      <c r="H1523" t="s">
        <v>479</v>
      </c>
      <c r="L1523">
        <v>0</v>
      </c>
      <c r="M1523">
        <v>0</v>
      </c>
      <c r="N1523">
        <v>0</v>
      </c>
      <c r="O1523" s="1">
        <v>45582.576851851853</v>
      </c>
      <c r="P1523" t="s">
        <v>473</v>
      </c>
    </row>
    <row r="1524" spans="1:16" x14ac:dyDescent="0.3">
      <c r="A1524" t="s">
        <v>25</v>
      </c>
      <c r="B1524" s="1">
        <v>45582.576770833337</v>
      </c>
      <c r="C1524" t="str">
        <f t="shared" si="294"/>
        <v>38</v>
      </c>
      <c r="D1524" t="s">
        <v>115</v>
      </c>
      <c r="E1524" t="s">
        <v>116</v>
      </c>
      <c r="F1524" t="s">
        <v>117</v>
      </c>
      <c r="H1524" t="s">
        <v>480</v>
      </c>
      <c r="L1524">
        <v>0</v>
      </c>
      <c r="M1524">
        <v>0</v>
      </c>
      <c r="N1524">
        <v>0</v>
      </c>
      <c r="O1524" s="1">
        <v>45582.576770833337</v>
      </c>
      <c r="P1524" t="s">
        <v>473</v>
      </c>
    </row>
    <row r="1525" spans="1:16" x14ac:dyDescent="0.3">
      <c r="A1525" t="s">
        <v>25</v>
      </c>
      <c r="B1525" s="1">
        <v>45582.576701388891</v>
      </c>
      <c r="C1525" t="str">
        <f t="shared" si="294"/>
        <v>38</v>
      </c>
      <c r="D1525" t="s">
        <v>115</v>
      </c>
      <c r="E1525" t="s">
        <v>116</v>
      </c>
      <c r="F1525" t="s">
        <v>117</v>
      </c>
      <c r="H1525" t="s">
        <v>481</v>
      </c>
      <c r="L1525">
        <v>0</v>
      </c>
      <c r="M1525">
        <v>0</v>
      </c>
      <c r="N1525">
        <v>0</v>
      </c>
      <c r="O1525" s="1">
        <v>45582.576701388891</v>
      </c>
      <c r="P1525" t="s">
        <v>473</v>
      </c>
    </row>
    <row r="1526" spans="1:16" x14ac:dyDescent="0.3">
      <c r="A1526" t="s">
        <v>25</v>
      </c>
      <c r="B1526" s="1">
        <v>45582.576643518521</v>
      </c>
      <c r="C1526" t="str">
        <f t="shared" si="294"/>
        <v>38</v>
      </c>
      <c r="D1526" t="s">
        <v>115</v>
      </c>
      <c r="E1526" t="s">
        <v>116</v>
      </c>
      <c r="F1526" t="s">
        <v>117</v>
      </c>
      <c r="H1526" t="s">
        <v>482</v>
      </c>
      <c r="L1526">
        <v>0</v>
      </c>
      <c r="M1526">
        <v>0</v>
      </c>
      <c r="N1526">
        <v>0</v>
      </c>
      <c r="O1526" s="1">
        <v>45582.576643518521</v>
      </c>
      <c r="P1526" t="s">
        <v>473</v>
      </c>
    </row>
    <row r="1527" spans="1:16" x14ac:dyDescent="0.3">
      <c r="A1527" t="s">
        <v>25</v>
      </c>
      <c r="B1527" s="1">
        <v>45582.576550925929</v>
      </c>
      <c r="C1527" t="str">
        <f t="shared" si="294"/>
        <v>38</v>
      </c>
      <c r="D1527" t="s">
        <v>115</v>
      </c>
      <c r="E1527" t="s">
        <v>116</v>
      </c>
      <c r="F1527" t="s">
        <v>117</v>
      </c>
      <c r="H1527" t="s">
        <v>483</v>
      </c>
      <c r="L1527">
        <v>0</v>
      </c>
      <c r="M1527">
        <v>0</v>
      </c>
      <c r="N1527">
        <v>0</v>
      </c>
      <c r="O1527" s="1">
        <v>45582.576550925929</v>
      </c>
      <c r="P1527" t="s">
        <v>473</v>
      </c>
    </row>
    <row r="1528" spans="1:16" x14ac:dyDescent="0.3">
      <c r="A1528" t="s">
        <v>25</v>
      </c>
      <c r="B1528" s="1">
        <v>45582.576458333337</v>
      </c>
      <c r="C1528" t="str">
        <f t="shared" si="294"/>
        <v>38</v>
      </c>
      <c r="D1528" t="s">
        <v>115</v>
      </c>
      <c r="E1528" t="s">
        <v>116</v>
      </c>
      <c r="F1528" t="s">
        <v>117</v>
      </c>
      <c r="H1528" t="s">
        <v>484</v>
      </c>
      <c r="L1528">
        <v>0</v>
      </c>
      <c r="M1528">
        <v>0</v>
      </c>
      <c r="N1528">
        <v>0</v>
      </c>
      <c r="O1528" s="1">
        <v>45582.576458333337</v>
      </c>
      <c r="P1528" t="s">
        <v>473</v>
      </c>
    </row>
    <row r="1529" spans="1:16" x14ac:dyDescent="0.3">
      <c r="A1529" t="s">
        <v>25</v>
      </c>
      <c r="B1529" s="1">
        <v>45582.576377314814</v>
      </c>
      <c r="C1529" t="str">
        <f t="shared" si="294"/>
        <v>38</v>
      </c>
      <c r="D1529" t="s">
        <v>115</v>
      </c>
      <c r="E1529" t="s">
        <v>116</v>
      </c>
      <c r="F1529" t="s">
        <v>117</v>
      </c>
      <c r="H1529" t="s">
        <v>485</v>
      </c>
      <c r="L1529">
        <v>0</v>
      </c>
      <c r="M1529">
        <v>0</v>
      </c>
      <c r="N1529">
        <v>0</v>
      </c>
      <c r="O1529" s="1">
        <v>45582.576377314814</v>
      </c>
      <c r="P1529" t="s">
        <v>473</v>
      </c>
    </row>
    <row r="1530" spans="1:16" x14ac:dyDescent="0.3">
      <c r="A1530" t="s">
        <v>25</v>
      </c>
      <c r="B1530" s="1">
        <v>45582.576284722221</v>
      </c>
      <c r="C1530" t="str">
        <f t="shared" si="294"/>
        <v>38</v>
      </c>
      <c r="D1530" t="s">
        <v>115</v>
      </c>
      <c r="E1530" t="s">
        <v>116</v>
      </c>
      <c r="F1530" t="s">
        <v>117</v>
      </c>
      <c r="H1530" t="s">
        <v>486</v>
      </c>
      <c r="L1530">
        <v>0</v>
      </c>
      <c r="M1530">
        <v>0</v>
      </c>
      <c r="N1530">
        <v>0</v>
      </c>
      <c r="O1530" s="1">
        <v>45582.576284722221</v>
      </c>
      <c r="P1530" t="s">
        <v>473</v>
      </c>
    </row>
    <row r="1531" spans="1:16" x14ac:dyDescent="0.3">
      <c r="A1531" t="s">
        <v>25</v>
      </c>
      <c r="B1531" s="1">
        <v>45582.576203703706</v>
      </c>
      <c r="C1531" t="str">
        <f t="shared" si="294"/>
        <v>38</v>
      </c>
      <c r="D1531" t="s">
        <v>115</v>
      </c>
      <c r="E1531" t="s">
        <v>116</v>
      </c>
      <c r="F1531" t="s">
        <v>117</v>
      </c>
      <c r="H1531" t="s">
        <v>487</v>
      </c>
      <c r="L1531">
        <v>0</v>
      </c>
      <c r="M1531">
        <v>0</v>
      </c>
      <c r="N1531">
        <v>0</v>
      </c>
      <c r="O1531" s="1">
        <v>45582.576203703706</v>
      </c>
      <c r="P1531" t="s">
        <v>473</v>
      </c>
    </row>
    <row r="1532" spans="1:16" x14ac:dyDescent="0.3">
      <c r="A1532" t="s">
        <v>25</v>
      </c>
      <c r="B1532" s="1">
        <v>45582.576122685183</v>
      </c>
      <c r="C1532" t="str">
        <f t="shared" si="294"/>
        <v>38</v>
      </c>
      <c r="D1532" t="s">
        <v>115</v>
      </c>
      <c r="E1532" t="s">
        <v>116</v>
      </c>
      <c r="F1532" t="s">
        <v>117</v>
      </c>
      <c r="H1532" t="s">
        <v>488</v>
      </c>
      <c r="L1532">
        <v>0</v>
      </c>
      <c r="M1532">
        <v>0</v>
      </c>
      <c r="N1532">
        <v>0</v>
      </c>
      <c r="O1532" s="1">
        <v>45582.576122685183</v>
      </c>
      <c r="P1532" t="s">
        <v>473</v>
      </c>
    </row>
    <row r="1533" spans="1:16" x14ac:dyDescent="0.3">
      <c r="A1533" t="s">
        <v>25</v>
      </c>
      <c r="B1533" s="1">
        <v>45582.57603009259</v>
      </c>
      <c r="C1533" t="str">
        <f t="shared" si="294"/>
        <v>38</v>
      </c>
      <c r="D1533" t="s">
        <v>115</v>
      </c>
      <c r="E1533" t="s">
        <v>116</v>
      </c>
      <c r="F1533" t="s">
        <v>117</v>
      </c>
      <c r="H1533" t="s">
        <v>489</v>
      </c>
      <c r="L1533">
        <v>0</v>
      </c>
      <c r="M1533">
        <v>0</v>
      </c>
      <c r="N1533">
        <v>0</v>
      </c>
      <c r="O1533" s="1">
        <v>45582.57603009259</v>
      </c>
      <c r="P1533" t="s">
        <v>473</v>
      </c>
    </row>
    <row r="1534" spans="1:16" x14ac:dyDescent="0.3">
      <c r="A1534" t="s">
        <v>25</v>
      </c>
      <c r="B1534" s="1">
        <v>45582.575937499998</v>
      </c>
      <c r="C1534" t="str">
        <f t="shared" si="294"/>
        <v>38</v>
      </c>
      <c r="D1534" t="s">
        <v>115</v>
      </c>
      <c r="E1534" t="s">
        <v>116</v>
      </c>
      <c r="F1534" t="s">
        <v>117</v>
      </c>
      <c r="H1534" t="s">
        <v>490</v>
      </c>
      <c r="L1534">
        <v>0</v>
      </c>
      <c r="M1534">
        <v>0</v>
      </c>
      <c r="N1534">
        <v>0</v>
      </c>
      <c r="O1534" s="1">
        <v>45582.575937499998</v>
      </c>
      <c r="P1534" t="s">
        <v>473</v>
      </c>
    </row>
    <row r="1535" spans="1:16" x14ac:dyDescent="0.3">
      <c r="A1535" t="s">
        <v>25</v>
      </c>
      <c r="B1535" s="1">
        <v>45582.575798611113</v>
      </c>
      <c r="C1535" t="str">
        <f t="shared" si="294"/>
        <v>38</v>
      </c>
      <c r="D1535" t="s">
        <v>115</v>
      </c>
      <c r="E1535" t="s">
        <v>116</v>
      </c>
      <c r="F1535" t="s">
        <v>117</v>
      </c>
      <c r="H1535" t="s">
        <v>490</v>
      </c>
      <c r="L1535">
        <v>0</v>
      </c>
      <c r="M1535">
        <v>0</v>
      </c>
      <c r="N1535">
        <v>0</v>
      </c>
      <c r="O1535" s="1">
        <v>45582.575798611113</v>
      </c>
      <c r="P1535" t="s">
        <v>473</v>
      </c>
    </row>
    <row r="1536" spans="1:16" x14ac:dyDescent="0.3">
      <c r="A1536" t="s">
        <v>25</v>
      </c>
      <c r="B1536" s="1">
        <v>45582.57571759259</v>
      </c>
      <c r="C1536" t="str">
        <f t="shared" si="294"/>
        <v>38</v>
      </c>
      <c r="D1536" t="s">
        <v>115</v>
      </c>
      <c r="E1536" t="s">
        <v>116</v>
      </c>
      <c r="F1536" t="s">
        <v>117</v>
      </c>
      <c r="H1536" t="s">
        <v>491</v>
      </c>
      <c r="L1536">
        <v>0</v>
      </c>
      <c r="M1536">
        <v>0</v>
      </c>
      <c r="N1536">
        <v>0</v>
      </c>
      <c r="O1536" s="1">
        <v>45582.57571759259</v>
      </c>
      <c r="P1536" t="s">
        <v>473</v>
      </c>
    </row>
    <row r="1537" spans="1:16" x14ac:dyDescent="0.3">
      <c r="A1537" t="s">
        <v>25</v>
      </c>
      <c r="B1537" s="1">
        <v>45582.575648148151</v>
      </c>
      <c r="C1537" t="str">
        <f t="shared" si="294"/>
        <v>38</v>
      </c>
      <c r="D1537" t="s">
        <v>115</v>
      </c>
      <c r="E1537" t="s">
        <v>116</v>
      </c>
      <c r="F1537" t="s">
        <v>117</v>
      </c>
      <c r="H1537" t="s">
        <v>492</v>
      </c>
      <c r="L1537">
        <v>0</v>
      </c>
      <c r="M1537">
        <v>0</v>
      </c>
      <c r="N1537">
        <v>0</v>
      </c>
      <c r="O1537" s="1">
        <v>45582.575648148151</v>
      </c>
      <c r="P1537" t="s">
        <v>473</v>
      </c>
    </row>
    <row r="1538" spans="1:16" x14ac:dyDescent="0.3">
      <c r="A1538" t="s">
        <v>25</v>
      </c>
      <c r="B1538" s="1">
        <v>45582.575567129628</v>
      </c>
      <c r="C1538" t="str">
        <f t="shared" si="294"/>
        <v>38</v>
      </c>
      <c r="D1538" t="s">
        <v>115</v>
      </c>
      <c r="E1538" t="s">
        <v>116</v>
      </c>
      <c r="F1538" t="s">
        <v>117</v>
      </c>
      <c r="H1538" t="s">
        <v>493</v>
      </c>
      <c r="L1538">
        <v>0</v>
      </c>
      <c r="M1538">
        <v>0</v>
      </c>
      <c r="N1538">
        <v>0</v>
      </c>
      <c r="O1538" s="1">
        <v>45582.575567129628</v>
      </c>
      <c r="P1538" t="s">
        <v>473</v>
      </c>
    </row>
    <row r="1539" spans="1:16" x14ac:dyDescent="0.3">
      <c r="A1539" t="s">
        <v>25</v>
      </c>
      <c r="B1539" s="1">
        <v>45582.57476851852</v>
      </c>
      <c r="C1539" t="str">
        <f t="shared" si="294"/>
        <v>38</v>
      </c>
      <c r="D1539" t="s">
        <v>115</v>
      </c>
      <c r="E1539" t="s">
        <v>116</v>
      </c>
      <c r="F1539" t="s">
        <v>117</v>
      </c>
      <c r="H1539" t="s">
        <v>494</v>
      </c>
      <c r="L1539">
        <v>0</v>
      </c>
      <c r="M1539">
        <v>0</v>
      </c>
      <c r="N1539">
        <v>0</v>
      </c>
      <c r="O1539" s="1">
        <v>45582.57476851852</v>
      </c>
      <c r="P1539" t="s">
        <v>473</v>
      </c>
    </row>
    <row r="1540" spans="1:16" x14ac:dyDescent="0.3">
      <c r="A1540" t="s">
        <v>25</v>
      </c>
      <c r="B1540" s="1">
        <v>45582.570729166669</v>
      </c>
      <c r="C1540" t="str">
        <f t="shared" si="294"/>
        <v>38</v>
      </c>
      <c r="D1540" t="s">
        <v>115</v>
      </c>
      <c r="E1540" t="s">
        <v>116</v>
      </c>
      <c r="F1540" t="s">
        <v>117</v>
      </c>
      <c r="H1540" t="s">
        <v>495</v>
      </c>
      <c r="L1540">
        <v>0</v>
      </c>
      <c r="M1540">
        <v>0</v>
      </c>
      <c r="N1540">
        <v>0</v>
      </c>
      <c r="O1540" s="1">
        <v>45582.570729166669</v>
      </c>
      <c r="P1540" t="s">
        <v>125</v>
      </c>
    </row>
    <row r="1541" spans="1:16" x14ac:dyDescent="0.3">
      <c r="A1541" t="s">
        <v>25</v>
      </c>
      <c r="B1541" s="1">
        <v>45582.570729166669</v>
      </c>
      <c r="C1541" t="str">
        <f t="shared" ref="C1541:C1547" si="295">"41"</f>
        <v>41</v>
      </c>
      <c r="D1541" t="s">
        <v>120</v>
      </c>
      <c r="E1541" t="s">
        <v>116</v>
      </c>
      <c r="F1541" t="s">
        <v>117</v>
      </c>
      <c r="H1541" t="s">
        <v>495</v>
      </c>
      <c r="I1541" t="str">
        <f>"101050002018058"</f>
        <v>101050002018058</v>
      </c>
      <c r="J1541" t="str">
        <f t="shared" ref="J1541:J1547" si="296">"514913"</f>
        <v>514913</v>
      </c>
      <c r="K1541" t="s">
        <v>93</v>
      </c>
      <c r="L1541">
        <v>91</v>
      </c>
      <c r="M1541">
        <v>91</v>
      </c>
      <c r="N1541">
        <v>0</v>
      </c>
      <c r="O1541" s="1">
        <v>45582.570729166669</v>
      </c>
      <c r="P1541" t="s">
        <v>125</v>
      </c>
    </row>
    <row r="1542" spans="1:16" x14ac:dyDescent="0.3">
      <c r="A1542" t="s">
        <v>25</v>
      </c>
      <c r="B1542" s="1">
        <v>45582.570729166669</v>
      </c>
      <c r="C1542" t="str">
        <f t="shared" si="295"/>
        <v>41</v>
      </c>
      <c r="D1542" t="s">
        <v>120</v>
      </c>
      <c r="E1542" t="s">
        <v>116</v>
      </c>
      <c r="F1542" t="s">
        <v>117</v>
      </c>
      <c r="H1542" t="s">
        <v>495</v>
      </c>
      <c r="I1542" t="str">
        <f>"101050002017676"</f>
        <v>101050002017676</v>
      </c>
      <c r="J1542" t="str">
        <f t="shared" si="296"/>
        <v>514913</v>
      </c>
      <c r="K1542" t="s">
        <v>93</v>
      </c>
      <c r="L1542">
        <v>91</v>
      </c>
      <c r="M1542">
        <v>91</v>
      </c>
      <c r="N1542">
        <v>0</v>
      </c>
      <c r="O1542" s="1">
        <v>45582.570729166669</v>
      </c>
      <c r="P1542" t="s">
        <v>125</v>
      </c>
    </row>
    <row r="1543" spans="1:16" x14ac:dyDescent="0.3">
      <c r="A1543" t="s">
        <v>25</v>
      </c>
      <c r="B1543" s="1">
        <v>45582.570717592593</v>
      </c>
      <c r="C1543" t="str">
        <f t="shared" si="295"/>
        <v>41</v>
      </c>
      <c r="D1543" t="s">
        <v>120</v>
      </c>
      <c r="E1543" t="s">
        <v>116</v>
      </c>
      <c r="F1543" t="s">
        <v>117</v>
      </c>
      <c r="H1543" t="s">
        <v>495</v>
      </c>
      <c r="I1543" t="str">
        <f>"101050002017537"</f>
        <v>101050002017537</v>
      </c>
      <c r="J1543" t="str">
        <f t="shared" si="296"/>
        <v>514913</v>
      </c>
      <c r="K1543" t="s">
        <v>93</v>
      </c>
      <c r="L1543">
        <v>91</v>
      </c>
      <c r="M1543">
        <v>91</v>
      </c>
      <c r="N1543">
        <v>0</v>
      </c>
      <c r="O1543" s="1">
        <v>45582.570717592593</v>
      </c>
      <c r="P1543" t="s">
        <v>125</v>
      </c>
    </row>
    <row r="1544" spans="1:16" x14ac:dyDescent="0.3">
      <c r="A1544" t="s">
        <v>25</v>
      </c>
      <c r="B1544" s="1">
        <v>45582.570717592593</v>
      </c>
      <c r="C1544" t="str">
        <f t="shared" si="295"/>
        <v>41</v>
      </c>
      <c r="D1544" t="s">
        <v>120</v>
      </c>
      <c r="E1544" t="s">
        <v>116</v>
      </c>
      <c r="F1544" t="s">
        <v>117</v>
      </c>
      <c r="H1544" t="s">
        <v>495</v>
      </c>
      <c r="I1544" t="str">
        <f>"101050002017434"</f>
        <v>101050002017434</v>
      </c>
      <c r="J1544" t="str">
        <f t="shared" si="296"/>
        <v>514913</v>
      </c>
      <c r="K1544" t="s">
        <v>93</v>
      </c>
      <c r="L1544">
        <v>91</v>
      </c>
      <c r="M1544">
        <v>91</v>
      </c>
      <c r="N1544">
        <v>0</v>
      </c>
      <c r="O1544" s="1">
        <v>45582.570717592593</v>
      </c>
      <c r="P1544" t="s">
        <v>125</v>
      </c>
    </row>
    <row r="1545" spans="1:16" x14ac:dyDescent="0.3">
      <c r="A1545" t="s">
        <v>25</v>
      </c>
      <c r="B1545" s="1">
        <v>45582.570717592593</v>
      </c>
      <c r="C1545" t="str">
        <f t="shared" si="295"/>
        <v>41</v>
      </c>
      <c r="D1545" t="s">
        <v>120</v>
      </c>
      <c r="E1545" t="s">
        <v>116</v>
      </c>
      <c r="F1545" t="s">
        <v>117</v>
      </c>
      <c r="H1545" t="s">
        <v>495</v>
      </c>
      <c r="I1545" t="str">
        <f>"101050002017115"</f>
        <v>101050002017115</v>
      </c>
      <c r="J1545" t="str">
        <f t="shared" si="296"/>
        <v>514913</v>
      </c>
      <c r="K1545" t="s">
        <v>93</v>
      </c>
      <c r="L1545">
        <v>91</v>
      </c>
      <c r="M1545">
        <v>91</v>
      </c>
      <c r="N1545">
        <v>0</v>
      </c>
      <c r="O1545" s="1">
        <v>45582.570717592593</v>
      </c>
      <c r="P1545" t="s">
        <v>125</v>
      </c>
    </row>
    <row r="1546" spans="1:16" x14ac:dyDescent="0.3">
      <c r="A1546" t="s">
        <v>25</v>
      </c>
      <c r="B1546" s="1">
        <v>45582.570717592593</v>
      </c>
      <c r="C1546" t="str">
        <f t="shared" si="295"/>
        <v>41</v>
      </c>
      <c r="D1546" t="s">
        <v>120</v>
      </c>
      <c r="E1546" t="s">
        <v>116</v>
      </c>
      <c r="F1546" t="s">
        <v>117</v>
      </c>
      <c r="H1546" t="s">
        <v>495</v>
      </c>
      <c r="I1546" t="str">
        <f>"101050002017078"</f>
        <v>101050002017078</v>
      </c>
      <c r="J1546" t="str">
        <f t="shared" si="296"/>
        <v>514913</v>
      </c>
      <c r="K1546" t="s">
        <v>93</v>
      </c>
      <c r="L1546">
        <v>91</v>
      </c>
      <c r="M1546">
        <v>91</v>
      </c>
      <c r="N1546">
        <v>0</v>
      </c>
      <c r="O1546" s="1">
        <v>45582.570717592593</v>
      </c>
      <c r="P1546" t="s">
        <v>125</v>
      </c>
    </row>
    <row r="1547" spans="1:16" x14ac:dyDescent="0.3">
      <c r="A1547" t="s">
        <v>25</v>
      </c>
      <c r="B1547" s="1">
        <v>45582.570717592593</v>
      </c>
      <c r="C1547" t="str">
        <f t="shared" si="295"/>
        <v>41</v>
      </c>
      <c r="D1547" t="s">
        <v>120</v>
      </c>
      <c r="E1547" t="s">
        <v>116</v>
      </c>
      <c r="F1547" t="s">
        <v>117</v>
      </c>
      <c r="H1547" t="s">
        <v>495</v>
      </c>
      <c r="I1547" t="str">
        <f>"101050002016953"</f>
        <v>101050002016953</v>
      </c>
      <c r="J1547" t="str">
        <f t="shared" si="296"/>
        <v>514913</v>
      </c>
      <c r="K1547" t="s">
        <v>93</v>
      </c>
      <c r="L1547">
        <v>91</v>
      </c>
      <c r="M1547">
        <v>91</v>
      </c>
      <c r="N1547">
        <v>0</v>
      </c>
      <c r="O1547" s="1">
        <v>45582.570717592593</v>
      </c>
      <c r="P1547" t="s">
        <v>125</v>
      </c>
    </row>
    <row r="1548" spans="1:16" x14ac:dyDescent="0.3">
      <c r="A1548" t="s">
        <v>25</v>
      </c>
      <c r="B1548" s="1">
        <v>45582.569293981483</v>
      </c>
      <c r="C1548" t="str">
        <f>"38"</f>
        <v>38</v>
      </c>
      <c r="D1548" t="s">
        <v>115</v>
      </c>
      <c r="E1548" t="s">
        <v>116</v>
      </c>
      <c r="F1548" t="s">
        <v>117</v>
      </c>
      <c r="H1548" t="s">
        <v>496</v>
      </c>
      <c r="L1548">
        <v>0</v>
      </c>
      <c r="M1548">
        <v>0</v>
      </c>
      <c r="N1548">
        <v>0</v>
      </c>
      <c r="O1548" s="1">
        <v>45582.569293981483</v>
      </c>
      <c r="P1548" t="s">
        <v>125</v>
      </c>
    </row>
    <row r="1549" spans="1:16" x14ac:dyDescent="0.3">
      <c r="A1549" t="s">
        <v>25</v>
      </c>
      <c r="B1549" s="1">
        <v>45582.569293981483</v>
      </c>
      <c r="C1549" t="str">
        <f t="shared" ref="C1549:C1555" si="297">"41"</f>
        <v>41</v>
      </c>
      <c r="D1549" t="s">
        <v>120</v>
      </c>
      <c r="E1549" t="s">
        <v>116</v>
      </c>
      <c r="F1549" t="s">
        <v>117</v>
      </c>
      <c r="H1549" t="s">
        <v>496</v>
      </c>
      <c r="I1549" t="str">
        <f>"101050002025917"</f>
        <v>101050002025917</v>
      </c>
      <c r="J1549" t="str">
        <f t="shared" ref="J1549:J1555" si="298">"515120"</f>
        <v>515120</v>
      </c>
      <c r="K1549" t="s">
        <v>2</v>
      </c>
      <c r="L1549">
        <v>49</v>
      </c>
      <c r="M1549">
        <v>49</v>
      </c>
      <c r="N1549">
        <v>0</v>
      </c>
      <c r="O1549" s="1">
        <v>45582.569293981483</v>
      </c>
      <c r="P1549" t="s">
        <v>125</v>
      </c>
    </row>
    <row r="1550" spans="1:16" x14ac:dyDescent="0.3">
      <c r="A1550" t="s">
        <v>25</v>
      </c>
      <c r="B1550" s="1">
        <v>45582.569282407407</v>
      </c>
      <c r="C1550" t="str">
        <f t="shared" si="297"/>
        <v>41</v>
      </c>
      <c r="D1550" t="s">
        <v>120</v>
      </c>
      <c r="E1550" t="s">
        <v>116</v>
      </c>
      <c r="F1550" t="s">
        <v>117</v>
      </c>
      <c r="H1550" t="s">
        <v>496</v>
      </c>
      <c r="I1550" t="str">
        <f>"101050002025865"</f>
        <v>101050002025865</v>
      </c>
      <c r="J1550" t="str">
        <f t="shared" si="298"/>
        <v>515120</v>
      </c>
      <c r="K1550" t="s">
        <v>2</v>
      </c>
      <c r="L1550">
        <v>49</v>
      </c>
      <c r="M1550">
        <v>49</v>
      </c>
      <c r="N1550">
        <v>0</v>
      </c>
      <c r="O1550" s="1">
        <v>45582.569282407407</v>
      </c>
      <c r="P1550" t="s">
        <v>125</v>
      </c>
    </row>
    <row r="1551" spans="1:16" x14ac:dyDescent="0.3">
      <c r="A1551" t="s">
        <v>25</v>
      </c>
      <c r="B1551" s="1">
        <v>45582.569282407407</v>
      </c>
      <c r="C1551" t="str">
        <f t="shared" si="297"/>
        <v>41</v>
      </c>
      <c r="D1551" t="s">
        <v>120</v>
      </c>
      <c r="E1551" t="s">
        <v>116</v>
      </c>
      <c r="F1551" t="s">
        <v>117</v>
      </c>
      <c r="H1551" t="s">
        <v>496</v>
      </c>
      <c r="I1551" t="str">
        <f>"101050002025849"</f>
        <v>101050002025849</v>
      </c>
      <c r="J1551" t="str">
        <f t="shared" si="298"/>
        <v>515120</v>
      </c>
      <c r="K1551" t="s">
        <v>2</v>
      </c>
      <c r="L1551">
        <v>49</v>
      </c>
      <c r="M1551">
        <v>49</v>
      </c>
      <c r="N1551">
        <v>0</v>
      </c>
      <c r="O1551" s="1">
        <v>45582.569282407407</v>
      </c>
      <c r="P1551" t="s">
        <v>125</v>
      </c>
    </row>
    <row r="1552" spans="1:16" x14ac:dyDescent="0.3">
      <c r="A1552" t="s">
        <v>25</v>
      </c>
      <c r="B1552" s="1">
        <v>45582.569282407407</v>
      </c>
      <c r="C1552" t="str">
        <f t="shared" si="297"/>
        <v>41</v>
      </c>
      <c r="D1552" t="s">
        <v>120</v>
      </c>
      <c r="E1552" t="s">
        <v>116</v>
      </c>
      <c r="F1552" t="s">
        <v>117</v>
      </c>
      <c r="H1552" t="s">
        <v>496</v>
      </c>
      <c r="I1552" t="str">
        <f>"101050002025847"</f>
        <v>101050002025847</v>
      </c>
      <c r="J1552" t="str">
        <f t="shared" si="298"/>
        <v>515120</v>
      </c>
      <c r="K1552" t="s">
        <v>2</v>
      </c>
      <c r="L1552">
        <v>49</v>
      </c>
      <c r="M1552">
        <v>49</v>
      </c>
      <c r="N1552">
        <v>0</v>
      </c>
      <c r="O1552" s="1">
        <v>45582.569282407407</v>
      </c>
      <c r="P1552" t="s">
        <v>125</v>
      </c>
    </row>
    <row r="1553" spans="1:16" x14ac:dyDescent="0.3">
      <c r="A1553" t="s">
        <v>25</v>
      </c>
      <c r="B1553" s="1">
        <v>45582.569282407407</v>
      </c>
      <c r="C1553" t="str">
        <f t="shared" si="297"/>
        <v>41</v>
      </c>
      <c r="D1553" t="s">
        <v>120</v>
      </c>
      <c r="E1553" t="s">
        <v>116</v>
      </c>
      <c r="F1553" t="s">
        <v>117</v>
      </c>
      <c r="H1553" t="s">
        <v>496</v>
      </c>
      <c r="I1553" t="str">
        <f>"101050002025021"</f>
        <v>101050002025021</v>
      </c>
      <c r="J1553" t="str">
        <f t="shared" si="298"/>
        <v>515120</v>
      </c>
      <c r="K1553" t="s">
        <v>2</v>
      </c>
      <c r="L1553">
        <v>49</v>
      </c>
      <c r="M1553">
        <v>49</v>
      </c>
      <c r="N1553">
        <v>0</v>
      </c>
      <c r="O1553" s="1">
        <v>45582.569282407407</v>
      </c>
      <c r="P1553" t="s">
        <v>125</v>
      </c>
    </row>
    <row r="1554" spans="1:16" x14ac:dyDescent="0.3">
      <c r="A1554" t="s">
        <v>25</v>
      </c>
      <c r="B1554" s="1">
        <v>45582.569282407407</v>
      </c>
      <c r="C1554" t="str">
        <f t="shared" si="297"/>
        <v>41</v>
      </c>
      <c r="D1554" t="s">
        <v>120</v>
      </c>
      <c r="E1554" t="s">
        <v>116</v>
      </c>
      <c r="F1554" t="s">
        <v>117</v>
      </c>
      <c r="H1554" t="s">
        <v>496</v>
      </c>
      <c r="I1554" t="str">
        <f>"101050002024864"</f>
        <v>101050002024864</v>
      </c>
      <c r="J1554" t="str">
        <f t="shared" si="298"/>
        <v>515120</v>
      </c>
      <c r="K1554" t="s">
        <v>2</v>
      </c>
      <c r="L1554">
        <v>49</v>
      </c>
      <c r="M1554">
        <v>49</v>
      </c>
      <c r="N1554">
        <v>0</v>
      </c>
      <c r="O1554" s="1">
        <v>45582.569282407407</v>
      </c>
      <c r="P1554" t="s">
        <v>125</v>
      </c>
    </row>
    <row r="1555" spans="1:16" x14ac:dyDescent="0.3">
      <c r="A1555" t="s">
        <v>25</v>
      </c>
      <c r="B1555" s="1">
        <v>45582.569282407407</v>
      </c>
      <c r="C1555" t="str">
        <f t="shared" si="297"/>
        <v>41</v>
      </c>
      <c r="D1555" t="s">
        <v>120</v>
      </c>
      <c r="E1555" t="s">
        <v>116</v>
      </c>
      <c r="F1555" t="s">
        <v>117</v>
      </c>
      <c r="H1555" t="s">
        <v>496</v>
      </c>
      <c r="I1555" t="str">
        <f>"101050002024861"</f>
        <v>101050002024861</v>
      </c>
      <c r="J1555" t="str">
        <f t="shared" si="298"/>
        <v>515120</v>
      </c>
      <c r="K1555" t="s">
        <v>2</v>
      </c>
      <c r="L1555">
        <v>49</v>
      </c>
      <c r="M1555">
        <v>49</v>
      </c>
      <c r="N1555">
        <v>0</v>
      </c>
      <c r="O1555" s="1">
        <v>45582.569282407407</v>
      </c>
      <c r="P1555" t="s">
        <v>125</v>
      </c>
    </row>
    <row r="1556" spans="1:16" x14ac:dyDescent="0.3">
      <c r="A1556" t="s">
        <v>25</v>
      </c>
      <c r="B1556" s="1">
        <v>45582.566689814812</v>
      </c>
      <c r="C1556" t="str">
        <f>"38"</f>
        <v>38</v>
      </c>
      <c r="D1556" t="s">
        <v>115</v>
      </c>
      <c r="E1556" t="s">
        <v>116</v>
      </c>
      <c r="F1556" t="s">
        <v>117</v>
      </c>
      <c r="H1556" t="s">
        <v>497</v>
      </c>
      <c r="L1556">
        <v>0</v>
      </c>
      <c r="M1556">
        <v>0</v>
      </c>
      <c r="N1556">
        <v>0</v>
      </c>
      <c r="O1556" s="1">
        <v>45582.566689814812</v>
      </c>
      <c r="P1556" t="s">
        <v>119</v>
      </c>
    </row>
    <row r="1557" spans="1:16" x14ac:dyDescent="0.3">
      <c r="A1557" t="s">
        <v>25</v>
      </c>
      <c r="B1557" s="1">
        <v>45582.566689814812</v>
      </c>
      <c r="C1557" t="str">
        <f t="shared" ref="C1557:C1563" si="299">"41"</f>
        <v>41</v>
      </c>
      <c r="D1557" t="s">
        <v>120</v>
      </c>
      <c r="E1557" t="s">
        <v>116</v>
      </c>
      <c r="F1557" t="s">
        <v>117</v>
      </c>
      <c r="H1557" t="s">
        <v>497</v>
      </c>
      <c r="I1557" t="str">
        <f>"101050002016297"</f>
        <v>101050002016297</v>
      </c>
      <c r="J1557" t="str">
        <f t="shared" ref="J1557:J1563" si="300">"127802"</f>
        <v>127802</v>
      </c>
      <c r="K1557" t="s">
        <v>6</v>
      </c>
      <c r="L1557">
        <v>91</v>
      </c>
      <c r="M1557">
        <v>91</v>
      </c>
      <c r="N1557">
        <v>0</v>
      </c>
      <c r="O1557" s="1">
        <v>45582.566689814812</v>
      </c>
      <c r="P1557" t="s">
        <v>119</v>
      </c>
    </row>
    <row r="1558" spans="1:16" x14ac:dyDescent="0.3">
      <c r="A1558" t="s">
        <v>25</v>
      </c>
      <c r="B1558" s="1">
        <v>45582.566689814812</v>
      </c>
      <c r="C1558" t="str">
        <f t="shared" si="299"/>
        <v>41</v>
      </c>
      <c r="D1558" t="s">
        <v>120</v>
      </c>
      <c r="E1558" t="s">
        <v>116</v>
      </c>
      <c r="F1558" t="s">
        <v>117</v>
      </c>
      <c r="H1558" t="s">
        <v>497</v>
      </c>
      <c r="I1558" t="str">
        <f>"101050002020124"</f>
        <v>101050002020124</v>
      </c>
      <c r="J1558" t="str">
        <f t="shared" si="300"/>
        <v>127802</v>
      </c>
      <c r="K1558" t="s">
        <v>6</v>
      </c>
      <c r="L1558">
        <v>91</v>
      </c>
      <c r="M1558">
        <v>91</v>
      </c>
      <c r="N1558">
        <v>0</v>
      </c>
      <c r="O1558" s="1">
        <v>45582.566689814812</v>
      </c>
      <c r="P1558" t="s">
        <v>119</v>
      </c>
    </row>
    <row r="1559" spans="1:16" x14ac:dyDescent="0.3">
      <c r="A1559" t="s">
        <v>25</v>
      </c>
      <c r="B1559" s="1">
        <v>45582.566678240742</v>
      </c>
      <c r="C1559" t="str">
        <f t="shared" si="299"/>
        <v>41</v>
      </c>
      <c r="D1559" t="s">
        <v>120</v>
      </c>
      <c r="E1559" t="s">
        <v>116</v>
      </c>
      <c r="F1559" t="s">
        <v>117</v>
      </c>
      <c r="H1559" t="s">
        <v>497</v>
      </c>
      <c r="I1559" t="str">
        <f>"101050002020637"</f>
        <v>101050002020637</v>
      </c>
      <c r="J1559" t="str">
        <f t="shared" si="300"/>
        <v>127802</v>
      </c>
      <c r="K1559" t="s">
        <v>6</v>
      </c>
      <c r="L1559">
        <v>91</v>
      </c>
      <c r="M1559">
        <v>91</v>
      </c>
      <c r="N1559">
        <v>0</v>
      </c>
      <c r="O1559" s="1">
        <v>45582.566678240742</v>
      </c>
      <c r="P1559" t="s">
        <v>119</v>
      </c>
    </row>
    <row r="1560" spans="1:16" x14ac:dyDescent="0.3">
      <c r="A1560" t="s">
        <v>25</v>
      </c>
      <c r="B1560" s="1">
        <v>45582.566678240742</v>
      </c>
      <c r="C1560" t="str">
        <f t="shared" si="299"/>
        <v>41</v>
      </c>
      <c r="D1560" t="s">
        <v>120</v>
      </c>
      <c r="E1560" t="s">
        <v>116</v>
      </c>
      <c r="F1560" t="s">
        <v>117</v>
      </c>
      <c r="H1560" t="s">
        <v>497</v>
      </c>
      <c r="I1560" t="str">
        <f>"101050002020640"</f>
        <v>101050002020640</v>
      </c>
      <c r="J1560" t="str">
        <f t="shared" si="300"/>
        <v>127802</v>
      </c>
      <c r="K1560" t="s">
        <v>6</v>
      </c>
      <c r="L1560">
        <v>91</v>
      </c>
      <c r="M1560">
        <v>91</v>
      </c>
      <c r="N1560">
        <v>0</v>
      </c>
      <c r="O1560" s="1">
        <v>45582.566678240742</v>
      </c>
      <c r="P1560" t="s">
        <v>119</v>
      </c>
    </row>
    <row r="1561" spans="1:16" x14ac:dyDescent="0.3">
      <c r="A1561" t="s">
        <v>25</v>
      </c>
      <c r="B1561" s="1">
        <v>45582.566678240742</v>
      </c>
      <c r="C1561" t="str">
        <f t="shared" si="299"/>
        <v>41</v>
      </c>
      <c r="D1561" t="s">
        <v>120</v>
      </c>
      <c r="E1561" t="s">
        <v>116</v>
      </c>
      <c r="F1561" t="s">
        <v>117</v>
      </c>
      <c r="H1561" t="s">
        <v>497</v>
      </c>
      <c r="I1561" t="str">
        <f>"101050002020703"</f>
        <v>101050002020703</v>
      </c>
      <c r="J1561" t="str">
        <f t="shared" si="300"/>
        <v>127802</v>
      </c>
      <c r="K1561" t="s">
        <v>6</v>
      </c>
      <c r="L1561">
        <v>91</v>
      </c>
      <c r="M1561">
        <v>91</v>
      </c>
      <c r="N1561">
        <v>0</v>
      </c>
      <c r="O1561" s="1">
        <v>45582.566678240742</v>
      </c>
      <c r="P1561" t="s">
        <v>119</v>
      </c>
    </row>
    <row r="1562" spans="1:16" x14ac:dyDescent="0.3">
      <c r="A1562" t="s">
        <v>25</v>
      </c>
      <c r="B1562" s="1">
        <v>45582.566678240742</v>
      </c>
      <c r="C1562" t="str">
        <f t="shared" si="299"/>
        <v>41</v>
      </c>
      <c r="D1562" t="s">
        <v>120</v>
      </c>
      <c r="E1562" t="s">
        <v>116</v>
      </c>
      <c r="F1562" t="s">
        <v>117</v>
      </c>
      <c r="H1562" t="s">
        <v>497</v>
      </c>
      <c r="I1562" t="str">
        <f>"101050002016798"</f>
        <v>101050002016798</v>
      </c>
      <c r="J1562" t="str">
        <f t="shared" si="300"/>
        <v>127802</v>
      </c>
      <c r="K1562" t="s">
        <v>6</v>
      </c>
      <c r="L1562">
        <v>91</v>
      </c>
      <c r="M1562">
        <v>91</v>
      </c>
      <c r="N1562">
        <v>0</v>
      </c>
      <c r="O1562" s="1">
        <v>45582.566678240742</v>
      </c>
      <c r="P1562" t="s">
        <v>119</v>
      </c>
    </row>
    <row r="1563" spans="1:16" x14ac:dyDescent="0.3">
      <c r="A1563" t="s">
        <v>25</v>
      </c>
      <c r="B1563" s="1">
        <v>45582.566678240742</v>
      </c>
      <c r="C1563" t="str">
        <f t="shared" si="299"/>
        <v>41</v>
      </c>
      <c r="D1563" t="s">
        <v>120</v>
      </c>
      <c r="E1563" t="s">
        <v>116</v>
      </c>
      <c r="F1563" t="s">
        <v>117</v>
      </c>
      <c r="H1563" t="s">
        <v>497</v>
      </c>
      <c r="I1563" t="str">
        <f>"101050002015994"</f>
        <v>101050002015994</v>
      </c>
      <c r="J1563" t="str">
        <f t="shared" si="300"/>
        <v>127802</v>
      </c>
      <c r="K1563" t="s">
        <v>6</v>
      </c>
      <c r="L1563">
        <v>91</v>
      </c>
      <c r="M1563">
        <v>91</v>
      </c>
      <c r="N1563">
        <v>0</v>
      </c>
      <c r="O1563" s="1">
        <v>45582.566678240742</v>
      </c>
      <c r="P1563" t="s">
        <v>119</v>
      </c>
    </row>
    <row r="1564" spans="1:16" x14ac:dyDescent="0.3">
      <c r="A1564" t="s">
        <v>25</v>
      </c>
      <c r="B1564" s="1">
        <v>45582.565474537034</v>
      </c>
      <c r="C1564" t="str">
        <f>"38"</f>
        <v>38</v>
      </c>
      <c r="D1564" t="s">
        <v>115</v>
      </c>
      <c r="E1564" t="s">
        <v>116</v>
      </c>
      <c r="F1564" t="s">
        <v>117</v>
      </c>
      <c r="H1564" t="s">
        <v>498</v>
      </c>
      <c r="L1564">
        <v>0</v>
      </c>
      <c r="M1564">
        <v>0</v>
      </c>
      <c r="N1564">
        <v>0</v>
      </c>
      <c r="O1564" s="1">
        <v>45582.565474537034</v>
      </c>
      <c r="P1564" t="s">
        <v>119</v>
      </c>
    </row>
    <row r="1565" spans="1:16" x14ac:dyDescent="0.3">
      <c r="A1565" t="s">
        <v>25</v>
      </c>
      <c r="B1565" s="1">
        <v>45582.565474537034</v>
      </c>
      <c r="C1565" t="str">
        <f>"41"</f>
        <v>41</v>
      </c>
      <c r="D1565" t="s">
        <v>120</v>
      </c>
      <c r="E1565" t="s">
        <v>116</v>
      </c>
      <c r="F1565" t="s">
        <v>117</v>
      </c>
      <c r="H1565" t="s">
        <v>498</v>
      </c>
      <c r="I1565" t="str">
        <f>"101050002023495"</f>
        <v>101050002023495</v>
      </c>
      <c r="J1565" t="str">
        <f>"514913"</f>
        <v>514913</v>
      </c>
      <c r="K1565" t="s">
        <v>93</v>
      </c>
      <c r="L1565">
        <v>91</v>
      </c>
      <c r="M1565">
        <v>91</v>
      </c>
      <c r="N1565">
        <v>0</v>
      </c>
      <c r="O1565" s="1">
        <v>45582.565474537034</v>
      </c>
      <c r="P1565" t="s">
        <v>119</v>
      </c>
    </row>
    <row r="1566" spans="1:16" x14ac:dyDescent="0.3">
      <c r="A1566" t="s">
        <v>25</v>
      </c>
      <c r="B1566" s="1">
        <v>45582.565474537034</v>
      </c>
      <c r="C1566" t="str">
        <f>"41"</f>
        <v>41</v>
      </c>
      <c r="D1566" t="s">
        <v>120</v>
      </c>
      <c r="E1566" t="s">
        <v>116</v>
      </c>
      <c r="F1566" t="s">
        <v>117</v>
      </c>
      <c r="H1566" t="s">
        <v>498</v>
      </c>
      <c r="I1566" t="str">
        <f>"101050002023496"</f>
        <v>101050002023496</v>
      </c>
      <c r="J1566" t="str">
        <f>"514913"</f>
        <v>514913</v>
      </c>
      <c r="K1566" t="s">
        <v>93</v>
      </c>
      <c r="L1566">
        <v>91</v>
      </c>
      <c r="M1566">
        <v>91</v>
      </c>
      <c r="N1566">
        <v>0</v>
      </c>
      <c r="O1566" s="1">
        <v>45582.565474537034</v>
      </c>
      <c r="P1566" t="s">
        <v>119</v>
      </c>
    </row>
    <row r="1567" spans="1:16" x14ac:dyDescent="0.3">
      <c r="A1567" t="s">
        <v>25</v>
      </c>
      <c r="B1567" s="1">
        <v>45582.565474537034</v>
      </c>
      <c r="C1567" t="str">
        <f>"41"</f>
        <v>41</v>
      </c>
      <c r="D1567" t="s">
        <v>120</v>
      </c>
      <c r="E1567" t="s">
        <v>116</v>
      </c>
      <c r="F1567" t="s">
        <v>117</v>
      </c>
      <c r="H1567" t="s">
        <v>498</v>
      </c>
      <c r="I1567" t="str">
        <f>"101050002023038"</f>
        <v>101050002023038</v>
      </c>
      <c r="J1567" t="str">
        <f>"514913"</f>
        <v>514913</v>
      </c>
      <c r="K1567" t="s">
        <v>93</v>
      </c>
      <c r="L1567">
        <v>91</v>
      </c>
      <c r="M1567">
        <v>91</v>
      </c>
      <c r="N1567">
        <v>0</v>
      </c>
      <c r="O1567" s="1">
        <v>45582.565474537034</v>
      </c>
      <c r="P1567" t="s">
        <v>119</v>
      </c>
    </row>
    <row r="1568" spans="1:16" x14ac:dyDescent="0.3">
      <c r="A1568" t="s">
        <v>25</v>
      </c>
      <c r="B1568" s="1">
        <v>45582.565474537034</v>
      </c>
      <c r="C1568" t="str">
        <f>"41"</f>
        <v>41</v>
      </c>
      <c r="D1568" t="s">
        <v>120</v>
      </c>
      <c r="E1568" t="s">
        <v>116</v>
      </c>
      <c r="F1568" t="s">
        <v>117</v>
      </c>
      <c r="H1568" t="s">
        <v>498</v>
      </c>
      <c r="I1568" t="str">
        <f>"101050002023684"</f>
        <v>101050002023684</v>
      </c>
      <c r="J1568" t="str">
        <f>"514913"</f>
        <v>514913</v>
      </c>
      <c r="K1568" t="s">
        <v>93</v>
      </c>
      <c r="L1568">
        <v>91</v>
      </c>
      <c r="M1568">
        <v>91</v>
      </c>
      <c r="N1568">
        <v>0</v>
      </c>
      <c r="O1568" s="1">
        <v>45582.565474537034</v>
      </c>
      <c r="P1568" t="s">
        <v>119</v>
      </c>
    </row>
    <row r="1569" spans="1:16" x14ac:dyDescent="0.3">
      <c r="A1569" t="s">
        <v>25</v>
      </c>
      <c r="B1569" s="1">
        <v>45582.565069444441</v>
      </c>
      <c r="C1569" t="str">
        <f>"38"</f>
        <v>38</v>
      </c>
      <c r="D1569" t="s">
        <v>115</v>
      </c>
      <c r="E1569" t="s">
        <v>116</v>
      </c>
      <c r="F1569" t="s">
        <v>117</v>
      </c>
      <c r="H1569" t="s">
        <v>390</v>
      </c>
      <c r="L1569">
        <v>0</v>
      </c>
      <c r="M1569">
        <v>0</v>
      </c>
      <c r="N1569">
        <v>0</v>
      </c>
      <c r="O1569" s="1">
        <v>45582.565069444441</v>
      </c>
      <c r="P1569" t="s">
        <v>122</v>
      </c>
    </row>
    <row r="1570" spans="1:16" x14ac:dyDescent="0.3">
      <c r="A1570" t="s">
        <v>25</v>
      </c>
      <c r="B1570" s="1">
        <v>45582.565069444441</v>
      </c>
      <c r="C1570" t="str">
        <f>"41"</f>
        <v>41</v>
      </c>
      <c r="D1570" t="s">
        <v>120</v>
      </c>
      <c r="E1570" t="s">
        <v>116</v>
      </c>
      <c r="F1570" t="s">
        <v>117</v>
      </c>
      <c r="H1570" t="s">
        <v>390</v>
      </c>
      <c r="I1570" t="str">
        <f>"101050002015647"</f>
        <v>101050002015647</v>
      </c>
      <c r="J1570" t="str">
        <f>"127802"</f>
        <v>127802</v>
      </c>
      <c r="K1570" t="s">
        <v>6</v>
      </c>
      <c r="L1570">
        <v>91</v>
      </c>
      <c r="M1570">
        <v>91</v>
      </c>
      <c r="N1570">
        <v>0</v>
      </c>
      <c r="O1570" s="1">
        <v>45582.565069444441</v>
      </c>
      <c r="P1570" t="s">
        <v>122</v>
      </c>
    </row>
    <row r="1571" spans="1:16" x14ac:dyDescent="0.3">
      <c r="A1571" t="s">
        <v>25</v>
      </c>
      <c r="B1571" s="1">
        <v>45582.565069444441</v>
      </c>
      <c r="C1571" t="str">
        <f>"41"</f>
        <v>41</v>
      </c>
      <c r="D1571" t="s">
        <v>120</v>
      </c>
      <c r="E1571" t="s">
        <v>116</v>
      </c>
      <c r="F1571" t="s">
        <v>117</v>
      </c>
      <c r="H1571" t="s">
        <v>390</v>
      </c>
      <c r="I1571" t="str">
        <f>"101050002015646"</f>
        <v>101050002015646</v>
      </c>
      <c r="J1571" t="str">
        <f>"127802"</f>
        <v>127802</v>
      </c>
      <c r="K1571" t="s">
        <v>6</v>
      </c>
      <c r="L1571">
        <v>91</v>
      </c>
      <c r="M1571">
        <v>91</v>
      </c>
      <c r="N1571">
        <v>0</v>
      </c>
      <c r="O1571" s="1">
        <v>45582.565069444441</v>
      </c>
      <c r="P1571" t="s">
        <v>122</v>
      </c>
    </row>
    <row r="1572" spans="1:16" x14ac:dyDescent="0.3">
      <c r="A1572" t="s">
        <v>25</v>
      </c>
      <c r="B1572" s="1">
        <v>45582.565057870372</v>
      </c>
      <c r="C1572" t="str">
        <f>"41"</f>
        <v>41</v>
      </c>
      <c r="D1572" t="s">
        <v>120</v>
      </c>
      <c r="E1572" t="s">
        <v>116</v>
      </c>
      <c r="F1572" t="s">
        <v>117</v>
      </c>
      <c r="H1572" t="s">
        <v>390</v>
      </c>
      <c r="I1572" t="str">
        <f>"101050002014960"</f>
        <v>101050002014960</v>
      </c>
      <c r="J1572" t="str">
        <f>"127802"</f>
        <v>127802</v>
      </c>
      <c r="K1572" t="s">
        <v>6</v>
      </c>
      <c r="L1572">
        <v>91</v>
      </c>
      <c r="M1572">
        <v>91</v>
      </c>
      <c r="N1572">
        <v>0</v>
      </c>
      <c r="O1572" s="1">
        <v>45582.565057870372</v>
      </c>
      <c r="P1572" t="s">
        <v>122</v>
      </c>
    </row>
    <row r="1573" spans="1:16" x14ac:dyDescent="0.3">
      <c r="A1573" t="s">
        <v>25</v>
      </c>
      <c r="B1573" s="1">
        <v>45582.563657407409</v>
      </c>
      <c r="C1573" t="str">
        <f>"38"</f>
        <v>38</v>
      </c>
      <c r="D1573" t="s">
        <v>115</v>
      </c>
      <c r="E1573" t="s">
        <v>116</v>
      </c>
      <c r="F1573" t="s">
        <v>117</v>
      </c>
      <c r="H1573" t="s">
        <v>499</v>
      </c>
      <c r="L1573">
        <v>0</v>
      </c>
      <c r="M1573">
        <v>0</v>
      </c>
      <c r="N1573">
        <v>0</v>
      </c>
      <c r="O1573" s="1">
        <v>45582.563657407409</v>
      </c>
      <c r="P1573" t="s">
        <v>119</v>
      </c>
    </row>
    <row r="1574" spans="1:16" x14ac:dyDescent="0.3">
      <c r="A1574" t="s">
        <v>25</v>
      </c>
      <c r="B1574" s="1">
        <v>45582.563657407409</v>
      </c>
      <c r="C1574" t="str">
        <f t="shared" ref="C1574:C1580" si="301">"41"</f>
        <v>41</v>
      </c>
      <c r="D1574" t="s">
        <v>120</v>
      </c>
      <c r="E1574" t="s">
        <v>116</v>
      </c>
      <c r="F1574" t="s">
        <v>117</v>
      </c>
      <c r="H1574" t="s">
        <v>499</v>
      </c>
      <c r="I1574" t="str">
        <f>"101050002024772"</f>
        <v>101050002024772</v>
      </c>
      <c r="J1574" t="str">
        <f t="shared" ref="J1574:J1580" si="302">"515123"</f>
        <v>515123</v>
      </c>
      <c r="K1574" t="s">
        <v>19</v>
      </c>
      <c r="L1574">
        <v>49</v>
      </c>
      <c r="M1574">
        <v>49</v>
      </c>
      <c r="N1574">
        <v>0</v>
      </c>
      <c r="O1574" s="1">
        <v>45582.563657407409</v>
      </c>
      <c r="P1574" t="s">
        <v>119</v>
      </c>
    </row>
    <row r="1575" spans="1:16" x14ac:dyDescent="0.3">
      <c r="A1575" t="s">
        <v>25</v>
      </c>
      <c r="B1575" s="1">
        <v>45582.563657407409</v>
      </c>
      <c r="C1575" t="str">
        <f t="shared" si="301"/>
        <v>41</v>
      </c>
      <c r="D1575" t="s">
        <v>120</v>
      </c>
      <c r="E1575" t="s">
        <v>116</v>
      </c>
      <c r="F1575" t="s">
        <v>117</v>
      </c>
      <c r="H1575" t="s">
        <v>499</v>
      </c>
      <c r="I1575" t="str">
        <f>"101050002024709"</f>
        <v>101050002024709</v>
      </c>
      <c r="J1575" t="str">
        <f t="shared" si="302"/>
        <v>515123</v>
      </c>
      <c r="K1575" t="s">
        <v>19</v>
      </c>
      <c r="L1575">
        <v>49</v>
      </c>
      <c r="M1575">
        <v>49</v>
      </c>
      <c r="N1575">
        <v>0</v>
      </c>
      <c r="O1575" s="1">
        <v>45582.563657407409</v>
      </c>
      <c r="P1575" t="s">
        <v>119</v>
      </c>
    </row>
    <row r="1576" spans="1:16" x14ac:dyDescent="0.3">
      <c r="A1576" t="s">
        <v>25</v>
      </c>
      <c r="B1576" s="1">
        <v>45582.563657407409</v>
      </c>
      <c r="C1576" t="str">
        <f t="shared" si="301"/>
        <v>41</v>
      </c>
      <c r="D1576" t="s">
        <v>120</v>
      </c>
      <c r="E1576" t="s">
        <v>116</v>
      </c>
      <c r="F1576" t="s">
        <v>117</v>
      </c>
      <c r="H1576" t="s">
        <v>499</v>
      </c>
      <c r="I1576" t="str">
        <f>"101050002026613"</f>
        <v>101050002026613</v>
      </c>
      <c r="J1576" t="str">
        <f t="shared" si="302"/>
        <v>515123</v>
      </c>
      <c r="K1576" t="s">
        <v>19</v>
      </c>
      <c r="L1576">
        <v>49</v>
      </c>
      <c r="M1576">
        <v>49</v>
      </c>
      <c r="N1576">
        <v>0</v>
      </c>
      <c r="O1576" s="1">
        <v>45582.563657407409</v>
      </c>
      <c r="P1576" t="s">
        <v>119</v>
      </c>
    </row>
    <row r="1577" spans="1:16" x14ac:dyDescent="0.3">
      <c r="A1577" t="s">
        <v>25</v>
      </c>
      <c r="B1577" s="1">
        <v>45582.563657407409</v>
      </c>
      <c r="C1577" t="str">
        <f t="shared" si="301"/>
        <v>41</v>
      </c>
      <c r="D1577" t="s">
        <v>120</v>
      </c>
      <c r="E1577" t="s">
        <v>116</v>
      </c>
      <c r="F1577" t="s">
        <v>117</v>
      </c>
      <c r="H1577" t="s">
        <v>499</v>
      </c>
      <c r="I1577" t="str">
        <f>"101050002025009"</f>
        <v>101050002025009</v>
      </c>
      <c r="J1577" t="str">
        <f t="shared" si="302"/>
        <v>515123</v>
      </c>
      <c r="K1577" t="s">
        <v>19</v>
      </c>
      <c r="L1577">
        <v>49</v>
      </c>
      <c r="M1577">
        <v>49</v>
      </c>
      <c r="N1577">
        <v>0</v>
      </c>
      <c r="O1577" s="1">
        <v>45582.563657407409</v>
      </c>
      <c r="P1577" t="s">
        <v>119</v>
      </c>
    </row>
    <row r="1578" spans="1:16" x14ac:dyDescent="0.3">
      <c r="A1578" t="s">
        <v>25</v>
      </c>
      <c r="B1578" s="1">
        <v>45582.563657407409</v>
      </c>
      <c r="C1578" t="str">
        <f t="shared" si="301"/>
        <v>41</v>
      </c>
      <c r="D1578" t="s">
        <v>120</v>
      </c>
      <c r="E1578" t="s">
        <v>116</v>
      </c>
      <c r="F1578" t="s">
        <v>117</v>
      </c>
      <c r="H1578" t="s">
        <v>499</v>
      </c>
      <c r="I1578" t="str">
        <f>"101050002025714"</f>
        <v>101050002025714</v>
      </c>
      <c r="J1578" t="str">
        <f t="shared" si="302"/>
        <v>515123</v>
      </c>
      <c r="K1578" t="s">
        <v>19</v>
      </c>
      <c r="L1578">
        <v>49</v>
      </c>
      <c r="M1578">
        <v>49</v>
      </c>
      <c r="N1578">
        <v>0</v>
      </c>
      <c r="O1578" s="1">
        <v>45582.563657407409</v>
      </c>
      <c r="P1578" t="s">
        <v>119</v>
      </c>
    </row>
    <row r="1579" spans="1:16" x14ac:dyDescent="0.3">
      <c r="A1579" t="s">
        <v>25</v>
      </c>
      <c r="B1579" s="1">
        <v>45582.563657407409</v>
      </c>
      <c r="C1579" t="str">
        <f t="shared" si="301"/>
        <v>41</v>
      </c>
      <c r="D1579" t="s">
        <v>120</v>
      </c>
      <c r="E1579" t="s">
        <v>116</v>
      </c>
      <c r="F1579" t="s">
        <v>117</v>
      </c>
      <c r="H1579" t="s">
        <v>499</v>
      </c>
      <c r="I1579" t="str">
        <f>"101050002017288"</f>
        <v>101050002017288</v>
      </c>
      <c r="J1579" t="str">
        <f t="shared" si="302"/>
        <v>515123</v>
      </c>
      <c r="K1579" t="s">
        <v>19</v>
      </c>
      <c r="L1579">
        <v>49</v>
      </c>
      <c r="M1579">
        <v>49</v>
      </c>
      <c r="N1579">
        <v>0</v>
      </c>
      <c r="O1579" s="1">
        <v>45582.563657407409</v>
      </c>
      <c r="P1579" t="s">
        <v>119</v>
      </c>
    </row>
    <row r="1580" spans="1:16" x14ac:dyDescent="0.3">
      <c r="A1580" t="s">
        <v>25</v>
      </c>
      <c r="B1580" s="1">
        <v>45582.563657407409</v>
      </c>
      <c r="C1580" t="str">
        <f t="shared" si="301"/>
        <v>41</v>
      </c>
      <c r="D1580" t="s">
        <v>120</v>
      </c>
      <c r="E1580" t="s">
        <v>116</v>
      </c>
      <c r="F1580" t="s">
        <v>117</v>
      </c>
      <c r="H1580" t="s">
        <v>499</v>
      </c>
      <c r="I1580" t="str">
        <f>"101050002016699"</f>
        <v>101050002016699</v>
      </c>
      <c r="J1580" t="str">
        <f t="shared" si="302"/>
        <v>515123</v>
      </c>
      <c r="K1580" t="s">
        <v>19</v>
      </c>
      <c r="L1580">
        <v>49</v>
      </c>
      <c r="M1580">
        <v>49</v>
      </c>
      <c r="N1580">
        <v>0</v>
      </c>
      <c r="O1580" s="1">
        <v>45582.563657407409</v>
      </c>
      <c r="P1580" t="s">
        <v>119</v>
      </c>
    </row>
    <row r="1581" spans="1:16" x14ac:dyDescent="0.3">
      <c r="A1581" t="s">
        <v>25</v>
      </c>
      <c r="B1581" s="1">
        <v>45582.563148148147</v>
      </c>
      <c r="C1581" t="str">
        <f>"38"</f>
        <v>38</v>
      </c>
      <c r="D1581" t="s">
        <v>115</v>
      </c>
      <c r="E1581" t="s">
        <v>116</v>
      </c>
      <c r="F1581" t="s">
        <v>117</v>
      </c>
      <c r="H1581" t="s">
        <v>500</v>
      </c>
      <c r="L1581">
        <v>0</v>
      </c>
      <c r="M1581">
        <v>0</v>
      </c>
      <c r="N1581">
        <v>0</v>
      </c>
      <c r="O1581" s="1">
        <v>45582.563148148147</v>
      </c>
      <c r="P1581" t="s">
        <v>122</v>
      </c>
    </row>
    <row r="1582" spans="1:16" x14ac:dyDescent="0.3">
      <c r="A1582" t="s">
        <v>25</v>
      </c>
      <c r="B1582" s="1">
        <v>45582.563148148147</v>
      </c>
      <c r="C1582" t="str">
        <f>"41"</f>
        <v>41</v>
      </c>
      <c r="D1582" t="s">
        <v>120</v>
      </c>
      <c r="E1582" t="s">
        <v>116</v>
      </c>
      <c r="F1582" t="s">
        <v>117</v>
      </c>
      <c r="H1582" t="s">
        <v>500</v>
      </c>
      <c r="I1582" t="str">
        <f>"101050002013858"</f>
        <v>101050002013858</v>
      </c>
      <c r="J1582" t="str">
        <f>"123052"</f>
        <v>123052</v>
      </c>
      <c r="K1582" t="s">
        <v>28</v>
      </c>
      <c r="L1582">
        <v>49</v>
      </c>
      <c r="M1582">
        <v>49</v>
      </c>
      <c r="N1582">
        <v>0</v>
      </c>
      <c r="O1582" s="1">
        <v>45582.563148148147</v>
      </c>
      <c r="P1582" t="s">
        <v>122</v>
      </c>
    </row>
    <row r="1583" spans="1:16" x14ac:dyDescent="0.3">
      <c r="A1583" t="s">
        <v>25</v>
      </c>
      <c r="B1583" s="1">
        <v>45582.562418981484</v>
      </c>
      <c r="C1583" t="str">
        <f>"38"</f>
        <v>38</v>
      </c>
      <c r="D1583" t="s">
        <v>115</v>
      </c>
      <c r="E1583" t="s">
        <v>116</v>
      </c>
      <c r="F1583" t="s">
        <v>117</v>
      </c>
      <c r="H1583" t="s">
        <v>501</v>
      </c>
      <c r="L1583">
        <v>0</v>
      </c>
      <c r="M1583">
        <v>0</v>
      </c>
      <c r="N1583">
        <v>0</v>
      </c>
      <c r="O1583" s="1">
        <v>45582.562418981484</v>
      </c>
      <c r="P1583" t="s">
        <v>125</v>
      </c>
    </row>
    <row r="1584" spans="1:16" x14ac:dyDescent="0.3">
      <c r="A1584" t="s">
        <v>25</v>
      </c>
      <c r="B1584" s="1">
        <v>45582.562418981484</v>
      </c>
      <c r="C1584" t="str">
        <f t="shared" ref="C1584:C1590" si="303">"41"</f>
        <v>41</v>
      </c>
      <c r="D1584" t="s">
        <v>120</v>
      </c>
      <c r="E1584" t="s">
        <v>116</v>
      </c>
      <c r="F1584" t="s">
        <v>117</v>
      </c>
      <c r="H1584" t="s">
        <v>501</v>
      </c>
      <c r="I1584" t="str">
        <f>"101050002021248"</f>
        <v>101050002021248</v>
      </c>
      <c r="J1584" t="str">
        <f t="shared" ref="J1584:J1590" si="304">"127802"</f>
        <v>127802</v>
      </c>
      <c r="K1584" t="s">
        <v>6</v>
      </c>
      <c r="L1584">
        <v>91</v>
      </c>
      <c r="M1584">
        <v>91</v>
      </c>
      <c r="N1584">
        <v>0</v>
      </c>
      <c r="O1584" s="1">
        <v>45582.562418981484</v>
      </c>
      <c r="P1584" t="s">
        <v>125</v>
      </c>
    </row>
    <row r="1585" spans="1:16" x14ac:dyDescent="0.3">
      <c r="A1585" t="s">
        <v>25</v>
      </c>
      <c r="B1585" s="1">
        <v>45582.562418981484</v>
      </c>
      <c r="C1585" t="str">
        <f t="shared" si="303"/>
        <v>41</v>
      </c>
      <c r="D1585" t="s">
        <v>120</v>
      </c>
      <c r="E1585" t="s">
        <v>116</v>
      </c>
      <c r="F1585" t="s">
        <v>117</v>
      </c>
      <c r="H1585" t="s">
        <v>501</v>
      </c>
      <c r="I1585" t="str">
        <f>"101050002021258"</f>
        <v>101050002021258</v>
      </c>
      <c r="J1585" t="str">
        <f t="shared" si="304"/>
        <v>127802</v>
      </c>
      <c r="K1585" t="s">
        <v>6</v>
      </c>
      <c r="L1585">
        <v>91</v>
      </c>
      <c r="M1585">
        <v>91</v>
      </c>
      <c r="N1585">
        <v>0</v>
      </c>
      <c r="O1585" s="1">
        <v>45582.562418981484</v>
      </c>
      <c r="P1585" t="s">
        <v>125</v>
      </c>
    </row>
    <row r="1586" spans="1:16" x14ac:dyDescent="0.3">
      <c r="A1586" t="s">
        <v>25</v>
      </c>
      <c r="B1586" s="1">
        <v>45582.562418981484</v>
      </c>
      <c r="C1586" t="str">
        <f t="shared" si="303"/>
        <v>41</v>
      </c>
      <c r="D1586" t="s">
        <v>120</v>
      </c>
      <c r="E1586" t="s">
        <v>116</v>
      </c>
      <c r="F1586" t="s">
        <v>117</v>
      </c>
      <c r="H1586" t="s">
        <v>501</v>
      </c>
      <c r="I1586" t="str">
        <f>"101050002021252"</f>
        <v>101050002021252</v>
      </c>
      <c r="J1586" t="str">
        <f t="shared" si="304"/>
        <v>127802</v>
      </c>
      <c r="K1586" t="s">
        <v>6</v>
      </c>
      <c r="L1586">
        <v>91</v>
      </c>
      <c r="M1586">
        <v>91</v>
      </c>
      <c r="N1586">
        <v>0</v>
      </c>
      <c r="O1586" s="1">
        <v>45582.562418981484</v>
      </c>
      <c r="P1586" t="s">
        <v>125</v>
      </c>
    </row>
    <row r="1587" spans="1:16" x14ac:dyDescent="0.3">
      <c r="A1587" t="s">
        <v>25</v>
      </c>
      <c r="B1587" s="1">
        <v>45582.562418981484</v>
      </c>
      <c r="C1587" t="str">
        <f t="shared" si="303"/>
        <v>41</v>
      </c>
      <c r="D1587" t="s">
        <v>120</v>
      </c>
      <c r="E1587" t="s">
        <v>116</v>
      </c>
      <c r="F1587" t="s">
        <v>117</v>
      </c>
      <c r="H1587" t="s">
        <v>501</v>
      </c>
      <c r="I1587" t="str">
        <f>"101050002021246"</f>
        <v>101050002021246</v>
      </c>
      <c r="J1587" t="str">
        <f t="shared" si="304"/>
        <v>127802</v>
      </c>
      <c r="K1587" t="s">
        <v>6</v>
      </c>
      <c r="L1587">
        <v>91</v>
      </c>
      <c r="M1587">
        <v>91</v>
      </c>
      <c r="N1587">
        <v>0</v>
      </c>
      <c r="O1587" s="1">
        <v>45582.562418981484</v>
      </c>
      <c r="P1587" t="s">
        <v>125</v>
      </c>
    </row>
    <row r="1588" spans="1:16" x14ac:dyDescent="0.3">
      <c r="A1588" t="s">
        <v>25</v>
      </c>
      <c r="B1588" s="1">
        <v>45582.562407407408</v>
      </c>
      <c r="C1588" t="str">
        <f t="shared" si="303"/>
        <v>41</v>
      </c>
      <c r="D1588" t="s">
        <v>120</v>
      </c>
      <c r="E1588" t="s">
        <v>116</v>
      </c>
      <c r="F1588" t="s">
        <v>117</v>
      </c>
      <c r="H1588" t="s">
        <v>501</v>
      </c>
      <c r="I1588" t="str">
        <f>"101050002021281"</f>
        <v>101050002021281</v>
      </c>
      <c r="J1588" t="str">
        <f t="shared" si="304"/>
        <v>127802</v>
      </c>
      <c r="K1588" t="s">
        <v>6</v>
      </c>
      <c r="L1588">
        <v>91</v>
      </c>
      <c r="M1588">
        <v>91</v>
      </c>
      <c r="N1588">
        <v>0</v>
      </c>
      <c r="O1588" s="1">
        <v>45582.562407407408</v>
      </c>
      <c r="P1588" t="s">
        <v>125</v>
      </c>
    </row>
    <row r="1589" spans="1:16" x14ac:dyDescent="0.3">
      <c r="A1589" t="s">
        <v>25</v>
      </c>
      <c r="B1589" s="1">
        <v>45582.562407407408</v>
      </c>
      <c r="C1589" t="str">
        <f t="shared" si="303"/>
        <v>41</v>
      </c>
      <c r="D1589" t="s">
        <v>120</v>
      </c>
      <c r="E1589" t="s">
        <v>116</v>
      </c>
      <c r="F1589" t="s">
        <v>117</v>
      </c>
      <c r="H1589" t="s">
        <v>501</v>
      </c>
      <c r="I1589" t="str">
        <f>"101050002021280"</f>
        <v>101050002021280</v>
      </c>
      <c r="J1589" t="str">
        <f t="shared" si="304"/>
        <v>127802</v>
      </c>
      <c r="K1589" t="s">
        <v>6</v>
      </c>
      <c r="L1589">
        <v>91</v>
      </c>
      <c r="M1589">
        <v>91</v>
      </c>
      <c r="N1589">
        <v>0</v>
      </c>
      <c r="O1589" s="1">
        <v>45582.562407407408</v>
      </c>
      <c r="P1589" t="s">
        <v>125</v>
      </c>
    </row>
    <row r="1590" spans="1:16" x14ac:dyDescent="0.3">
      <c r="A1590" t="s">
        <v>25</v>
      </c>
      <c r="B1590" s="1">
        <v>45582.562407407408</v>
      </c>
      <c r="C1590" t="str">
        <f t="shared" si="303"/>
        <v>41</v>
      </c>
      <c r="D1590" t="s">
        <v>120</v>
      </c>
      <c r="E1590" t="s">
        <v>116</v>
      </c>
      <c r="F1590" t="s">
        <v>117</v>
      </c>
      <c r="H1590" t="s">
        <v>501</v>
      </c>
      <c r="I1590" t="str">
        <f>"101050002021272"</f>
        <v>101050002021272</v>
      </c>
      <c r="J1590" t="str">
        <f t="shared" si="304"/>
        <v>127802</v>
      </c>
      <c r="K1590" t="s">
        <v>6</v>
      </c>
      <c r="L1590">
        <v>91</v>
      </c>
      <c r="M1590">
        <v>91</v>
      </c>
      <c r="N1590">
        <v>0</v>
      </c>
      <c r="O1590" s="1">
        <v>45582.562407407408</v>
      </c>
      <c r="P1590" t="s">
        <v>125</v>
      </c>
    </row>
    <row r="1591" spans="1:16" x14ac:dyDescent="0.3">
      <c r="A1591" t="s">
        <v>25</v>
      </c>
      <c r="B1591" s="1">
        <v>45582.562025462961</v>
      </c>
      <c r="C1591" t="str">
        <f>"38"</f>
        <v>38</v>
      </c>
      <c r="D1591" t="s">
        <v>115</v>
      </c>
      <c r="E1591" t="s">
        <v>116</v>
      </c>
      <c r="F1591" t="s">
        <v>117</v>
      </c>
      <c r="H1591" t="s">
        <v>502</v>
      </c>
      <c r="L1591">
        <v>0</v>
      </c>
      <c r="M1591">
        <v>0</v>
      </c>
      <c r="N1591">
        <v>0</v>
      </c>
      <c r="O1591" s="1">
        <v>45582.562025462961</v>
      </c>
      <c r="P1591" t="s">
        <v>119</v>
      </c>
    </row>
    <row r="1592" spans="1:16" x14ac:dyDescent="0.3">
      <c r="A1592" t="s">
        <v>25</v>
      </c>
      <c r="B1592" s="1">
        <v>45582.562025462961</v>
      </c>
      <c r="C1592" t="str">
        <f t="shared" ref="C1592:C1598" si="305">"41"</f>
        <v>41</v>
      </c>
      <c r="D1592" t="s">
        <v>120</v>
      </c>
      <c r="E1592" t="s">
        <v>116</v>
      </c>
      <c r="F1592" t="s">
        <v>117</v>
      </c>
      <c r="H1592" t="s">
        <v>502</v>
      </c>
      <c r="I1592" t="str">
        <f>"101050002024182"</f>
        <v>101050002024182</v>
      </c>
      <c r="J1592" t="str">
        <f t="shared" ref="J1592:J1598" si="306">"515120"</f>
        <v>515120</v>
      </c>
      <c r="K1592" t="s">
        <v>2</v>
      </c>
      <c r="L1592">
        <v>49</v>
      </c>
      <c r="M1592">
        <v>49</v>
      </c>
      <c r="N1592">
        <v>0</v>
      </c>
      <c r="O1592" s="1">
        <v>45582.562025462961</v>
      </c>
      <c r="P1592" t="s">
        <v>119</v>
      </c>
    </row>
    <row r="1593" spans="1:16" x14ac:dyDescent="0.3">
      <c r="A1593" t="s">
        <v>25</v>
      </c>
      <c r="B1593" s="1">
        <v>45582.562013888892</v>
      </c>
      <c r="C1593" t="str">
        <f t="shared" si="305"/>
        <v>41</v>
      </c>
      <c r="D1593" t="s">
        <v>120</v>
      </c>
      <c r="E1593" t="s">
        <v>116</v>
      </c>
      <c r="F1593" t="s">
        <v>117</v>
      </c>
      <c r="H1593" t="s">
        <v>502</v>
      </c>
      <c r="I1593" t="str">
        <f>"101050002024179"</f>
        <v>101050002024179</v>
      </c>
      <c r="J1593" t="str">
        <f t="shared" si="306"/>
        <v>515120</v>
      </c>
      <c r="K1593" t="s">
        <v>2</v>
      </c>
      <c r="L1593">
        <v>49</v>
      </c>
      <c r="M1593">
        <v>49</v>
      </c>
      <c r="N1593">
        <v>0</v>
      </c>
      <c r="O1593" s="1">
        <v>45582.562013888892</v>
      </c>
      <c r="P1593" t="s">
        <v>119</v>
      </c>
    </row>
    <row r="1594" spans="1:16" x14ac:dyDescent="0.3">
      <c r="A1594" t="s">
        <v>25</v>
      </c>
      <c r="B1594" s="1">
        <v>45582.562013888892</v>
      </c>
      <c r="C1594" t="str">
        <f t="shared" si="305"/>
        <v>41</v>
      </c>
      <c r="D1594" t="s">
        <v>120</v>
      </c>
      <c r="E1594" t="s">
        <v>116</v>
      </c>
      <c r="F1594" t="s">
        <v>117</v>
      </c>
      <c r="H1594" t="s">
        <v>502</v>
      </c>
      <c r="I1594" t="str">
        <f>"101050002024517"</f>
        <v>101050002024517</v>
      </c>
      <c r="J1594" t="str">
        <f t="shared" si="306"/>
        <v>515120</v>
      </c>
      <c r="K1594" t="s">
        <v>2</v>
      </c>
      <c r="L1594">
        <v>49</v>
      </c>
      <c r="M1594">
        <v>49</v>
      </c>
      <c r="N1594">
        <v>0</v>
      </c>
      <c r="O1594" s="1">
        <v>45582.562013888892</v>
      </c>
      <c r="P1594" t="s">
        <v>119</v>
      </c>
    </row>
    <row r="1595" spans="1:16" x14ac:dyDescent="0.3">
      <c r="A1595" t="s">
        <v>25</v>
      </c>
      <c r="B1595" s="1">
        <v>45582.562013888892</v>
      </c>
      <c r="C1595" t="str">
        <f t="shared" si="305"/>
        <v>41</v>
      </c>
      <c r="D1595" t="s">
        <v>120</v>
      </c>
      <c r="E1595" t="s">
        <v>116</v>
      </c>
      <c r="F1595" t="s">
        <v>117</v>
      </c>
      <c r="H1595" t="s">
        <v>502</v>
      </c>
      <c r="I1595" t="str">
        <f>"101050002023504"</f>
        <v>101050002023504</v>
      </c>
      <c r="J1595" t="str">
        <f t="shared" si="306"/>
        <v>515120</v>
      </c>
      <c r="K1595" t="s">
        <v>2</v>
      </c>
      <c r="L1595">
        <v>49</v>
      </c>
      <c r="M1595">
        <v>49</v>
      </c>
      <c r="N1595">
        <v>0</v>
      </c>
      <c r="O1595" s="1">
        <v>45582.562013888892</v>
      </c>
      <c r="P1595" t="s">
        <v>119</v>
      </c>
    </row>
    <row r="1596" spans="1:16" x14ac:dyDescent="0.3">
      <c r="A1596" t="s">
        <v>25</v>
      </c>
      <c r="B1596" s="1">
        <v>45582.562013888892</v>
      </c>
      <c r="C1596" t="str">
        <f t="shared" si="305"/>
        <v>41</v>
      </c>
      <c r="D1596" t="s">
        <v>120</v>
      </c>
      <c r="E1596" t="s">
        <v>116</v>
      </c>
      <c r="F1596" t="s">
        <v>117</v>
      </c>
      <c r="H1596" t="s">
        <v>502</v>
      </c>
      <c r="I1596" t="str">
        <f>"101050002023855"</f>
        <v>101050002023855</v>
      </c>
      <c r="J1596" t="str">
        <f t="shared" si="306"/>
        <v>515120</v>
      </c>
      <c r="K1596" t="s">
        <v>2</v>
      </c>
      <c r="L1596">
        <v>49</v>
      </c>
      <c r="M1596">
        <v>49</v>
      </c>
      <c r="N1596">
        <v>0</v>
      </c>
      <c r="O1596" s="1">
        <v>45582.562013888892</v>
      </c>
      <c r="P1596" t="s">
        <v>119</v>
      </c>
    </row>
    <row r="1597" spans="1:16" x14ac:dyDescent="0.3">
      <c r="A1597" t="s">
        <v>25</v>
      </c>
      <c r="B1597" s="1">
        <v>45582.562002314815</v>
      </c>
      <c r="C1597" t="str">
        <f t="shared" si="305"/>
        <v>41</v>
      </c>
      <c r="D1597" t="s">
        <v>120</v>
      </c>
      <c r="E1597" t="s">
        <v>116</v>
      </c>
      <c r="F1597" t="s">
        <v>117</v>
      </c>
      <c r="H1597" t="s">
        <v>502</v>
      </c>
      <c r="I1597" t="str">
        <f>"101050002023553"</f>
        <v>101050002023553</v>
      </c>
      <c r="J1597" t="str">
        <f t="shared" si="306"/>
        <v>515120</v>
      </c>
      <c r="K1597" t="s">
        <v>2</v>
      </c>
      <c r="L1597">
        <v>49</v>
      </c>
      <c r="M1597">
        <v>49</v>
      </c>
      <c r="N1597">
        <v>0</v>
      </c>
      <c r="O1597" s="1">
        <v>45582.562002314815</v>
      </c>
      <c r="P1597" t="s">
        <v>119</v>
      </c>
    </row>
    <row r="1598" spans="1:16" x14ac:dyDescent="0.3">
      <c r="A1598" t="s">
        <v>25</v>
      </c>
      <c r="B1598" s="1">
        <v>45582.562002314815</v>
      </c>
      <c r="C1598" t="str">
        <f t="shared" si="305"/>
        <v>41</v>
      </c>
      <c r="D1598" t="s">
        <v>120</v>
      </c>
      <c r="E1598" t="s">
        <v>116</v>
      </c>
      <c r="F1598" t="s">
        <v>117</v>
      </c>
      <c r="H1598" t="s">
        <v>502</v>
      </c>
      <c r="I1598" t="str">
        <f>"101050002023493"</f>
        <v>101050002023493</v>
      </c>
      <c r="J1598" t="str">
        <f t="shared" si="306"/>
        <v>515120</v>
      </c>
      <c r="K1598" t="s">
        <v>2</v>
      </c>
      <c r="L1598">
        <v>49</v>
      </c>
      <c r="M1598">
        <v>49</v>
      </c>
      <c r="N1598">
        <v>0</v>
      </c>
      <c r="O1598" s="1">
        <v>45582.562002314815</v>
      </c>
      <c r="P1598" t="s">
        <v>119</v>
      </c>
    </row>
    <row r="1599" spans="1:16" x14ac:dyDescent="0.3">
      <c r="A1599" t="s">
        <v>25</v>
      </c>
      <c r="B1599" s="1">
        <v>45582.561469907407</v>
      </c>
      <c r="C1599" t="str">
        <f>"38"</f>
        <v>38</v>
      </c>
      <c r="D1599" t="s">
        <v>115</v>
      </c>
      <c r="E1599" t="s">
        <v>116</v>
      </c>
      <c r="F1599" t="s">
        <v>117</v>
      </c>
      <c r="H1599" t="s">
        <v>503</v>
      </c>
      <c r="L1599">
        <v>0</v>
      </c>
      <c r="M1599">
        <v>0</v>
      </c>
      <c r="N1599">
        <v>0</v>
      </c>
      <c r="O1599" s="1">
        <v>45582.561469907407</v>
      </c>
      <c r="P1599" t="s">
        <v>125</v>
      </c>
    </row>
    <row r="1600" spans="1:16" x14ac:dyDescent="0.3">
      <c r="A1600" t="s">
        <v>25</v>
      </c>
      <c r="B1600" s="1">
        <v>45582.561782407407</v>
      </c>
      <c r="C1600" t="str">
        <f>"38"</f>
        <v>38</v>
      </c>
      <c r="D1600" t="s">
        <v>115</v>
      </c>
      <c r="E1600" t="s">
        <v>116</v>
      </c>
      <c r="F1600" t="s">
        <v>117</v>
      </c>
      <c r="H1600" t="s">
        <v>504</v>
      </c>
      <c r="L1600">
        <v>0</v>
      </c>
      <c r="M1600">
        <v>0</v>
      </c>
      <c r="N1600">
        <v>0</v>
      </c>
      <c r="O1600" s="1">
        <v>45582.561782407407</v>
      </c>
      <c r="P1600" t="s">
        <v>138</v>
      </c>
    </row>
    <row r="1601" spans="1:16" x14ac:dyDescent="0.3">
      <c r="A1601" t="s">
        <v>25</v>
      </c>
      <c r="B1601" s="1">
        <v>45582.561782407407</v>
      </c>
      <c r="C1601" t="str">
        <f>"40"</f>
        <v>40</v>
      </c>
      <c r="D1601" t="s">
        <v>220</v>
      </c>
      <c r="E1601" t="s">
        <v>116</v>
      </c>
      <c r="F1601" t="s">
        <v>117</v>
      </c>
      <c r="G1601" t="s">
        <v>221</v>
      </c>
      <c r="H1601" t="s">
        <v>504</v>
      </c>
      <c r="I1601" t="str">
        <f>"101050002024267"</f>
        <v>101050002024267</v>
      </c>
      <c r="J1601" t="str">
        <f t="shared" ref="J1601:J1607" si="307">"515123"</f>
        <v>515123</v>
      </c>
      <c r="K1601" t="s">
        <v>19</v>
      </c>
      <c r="L1601">
        <v>49</v>
      </c>
      <c r="M1601">
        <v>0</v>
      </c>
      <c r="N1601">
        <v>-49</v>
      </c>
      <c r="O1601" s="1">
        <v>45582.561782407407</v>
      </c>
      <c r="P1601" t="s">
        <v>138</v>
      </c>
    </row>
    <row r="1602" spans="1:16" x14ac:dyDescent="0.3">
      <c r="A1602" t="s">
        <v>25</v>
      </c>
      <c r="B1602" s="1">
        <v>45582.56177083333</v>
      </c>
      <c r="C1602" t="str">
        <f t="shared" ref="C1602:C1614" si="308">"41"</f>
        <v>41</v>
      </c>
      <c r="D1602" t="s">
        <v>120</v>
      </c>
      <c r="E1602" t="s">
        <v>116</v>
      </c>
      <c r="F1602" t="s">
        <v>117</v>
      </c>
      <c r="H1602" t="s">
        <v>504</v>
      </c>
      <c r="I1602" t="str">
        <f>"101050002025352"</f>
        <v>101050002025352</v>
      </c>
      <c r="J1602" t="str">
        <f t="shared" si="307"/>
        <v>515123</v>
      </c>
      <c r="K1602" t="s">
        <v>19</v>
      </c>
      <c r="L1602">
        <v>49</v>
      </c>
      <c r="M1602">
        <v>49</v>
      </c>
      <c r="N1602">
        <v>0</v>
      </c>
      <c r="O1602" s="1">
        <v>45582.56177083333</v>
      </c>
      <c r="P1602" t="s">
        <v>138</v>
      </c>
    </row>
    <row r="1603" spans="1:16" x14ac:dyDescent="0.3">
      <c r="A1603" t="s">
        <v>25</v>
      </c>
      <c r="B1603" s="1">
        <v>45582.56177083333</v>
      </c>
      <c r="C1603" t="str">
        <f t="shared" si="308"/>
        <v>41</v>
      </c>
      <c r="D1603" t="s">
        <v>120</v>
      </c>
      <c r="E1603" t="s">
        <v>116</v>
      </c>
      <c r="F1603" t="s">
        <v>117</v>
      </c>
      <c r="H1603" t="s">
        <v>504</v>
      </c>
      <c r="I1603" t="str">
        <f>"101050002025249"</f>
        <v>101050002025249</v>
      </c>
      <c r="J1603" t="str">
        <f t="shared" si="307"/>
        <v>515123</v>
      </c>
      <c r="K1603" t="s">
        <v>19</v>
      </c>
      <c r="L1603">
        <v>49</v>
      </c>
      <c r="M1603">
        <v>49</v>
      </c>
      <c r="N1603">
        <v>0</v>
      </c>
      <c r="O1603" s="1">
        <v>45582.56177083333</v>
      </c>
      <c r="P1603" t="s">
        <v>138</v>
      </c>
    </row>
    <row r="1604" spans="1:16" x14ac:dyDescent="0.3">
      <c r="A1604" t="s">
        <v>25</v>
      </c>
      <c r="B1604" s="1">
        <v>45582.56177083333</v>
      </c>
      <c r="C1604" t="str">
        <f t="shared" si="308"/>
        <v>41</v>
      </c>
      <c r="D1604" t="s">
        <v>120</v>
      </c>
      <c r="E1604" t="s">
        <v>116</v>
      </c>
      <c r="F1604" t="s">
        <v>117</v>
      </c>
      <c r="H1604" t="s">
        <v>504</v>
      </c>
      <c r="I1604" t="str">
        <f>"101050002024234"</f>
        <v>101050002024234</v>
      </c>
      <c r="J1604" t="str">
        <f t="shared" si="307"/>
        <v>515123</v>
      </c>
      <c r="K1604" t="s">
        <v>19</v>
      </c>
      <c r="L1604">
        <v>49</v>
      </c>
      <c r="M1604">
        <v>49</v>
      </c>
      <c r="N1604">
        <v>0</v>
      </c>
      <c r="O1604" s="1">
        <v>45582.56177083333</v>
      </c>
      <c r="P1604" t="s">
        <v>138</v>
      </c>
    </row>
    <row r="1605" spans="1:16" x14ac:dyDescent="0.3">
      <c r="A1605" t="s">
        <v>25</v>
      </c>
      <c r="B1605" s="1">
        <v>45582.56177083333</v>
      </c>
      <c r="C1605" t="str">
        <f t="shared" si="308"/>
        <v>41</v>
      </c>
      <c r="D1605" t="s">
        <v>120</v>
      </c>
      <c r="E1605" t="s">
        <v>116</v>
      </c>
      <c r="F1605" t="s">
        <v>117</v>
      </c>
      <c r="H1605" t="s">
        <v>504</v>
      </c>
      <c r="I1605" t="str">
        <f>"101050002017130"</f>
        <v>101050002017130</v>
      </c>
      <c r="J1605" t="str">
        <f t="shared" si="307"/>
        <v>515123</v>
      </c>
      <c r="K1605" t="s">
        <v>19</v>
      </c>
      <c r="L1605">
        <v>49</v>
      </c>
      <c r="M1605">
        <v>49</v>
      </c>
      <c r="N1605">
        <v>0</v>
      </c>
      <c r="O1605" s="1">
        <v>45582.56177083333</v>
      </c>
      <c r="P1605" t="s">
        <v>138</v>
      </c>
    </row>
    <row r="1606" spans="1:16" x14ac:dyDescent="0.3">
      <c r="A1606" t="s">
        <v>25</v>
      </c>
      <c r="B1606" s="1">
        <v>45582.56177083333</v>
      </c>
      <c r="C1606" t="str">
        <f t="shared" si="308"/>
        <v>41</v>
      </c>
      <c r="D1606" t="s">
        <v>120</v>
      </c>
      <c r="E1606" t="s">
        <v>116</v>
      </c>
      <c r="F1606" t="s">
        <v>117</v>
      </c>
      <c r="H1606" t="s">
        <v>504</v>
      </c>
      <c r="I1606" t="str">
        <f>"101050002016628"</f>
        <v>101050002016628</v>
      </c>
      <c r="J1606" t="str">
        <f t="shared" si="307"/>
        <v>515123</v>
      </c>
      <c r="K1606" t="s">
        <v>19</v>
      </c>
      <c r="L1606">
        <v>49</v>
      </c>
      <c r="M1606">
        <v>49</v>
      </c>
      <c r="N1606">
        <v>0</v>
      </c>
      <c r="O1606" s="1">
        <v>45582.56177083333</v>
      </c>
      <c r="P1606" t="s">
        <v>138</v>
      </c>
    </row>
    <row r="1607" spans="1:16" x14ac:dyDescent="0.3">
      <c r="A1607" t="s">
        <v>25</v>
      </c>
      <c r="B1607" s="1">
        <v>45582.561759259261</v>
      </c>
      <c r="C1607" t="str">
        <f t="shared" si="308"/>
        <v>41</v>
      </c>
      <c r="D1607" t="s">
        <v>120</v>
      </c>
      <c r="E1607" t="s">
        <v>116</v>
      </c>
      <c r="F1607" t="s">
        <v>117</v>
      </c>
      <c r="H1607" t="s">
        <v>504</v>
      </c>
      <c r="I1607" t="str">
        <f>"101050002016700"</f>
        <v>101050002016700</v>
      </c>
      <c r="J1607" t="str">
        <f t="shared" si="307"/>
        <v>515123</v>
      </c>
      <c r="K1607" t="s">
        <v>19</v>
      </c>
      <c r="L1607">
        <v>49</v>
      </c>
      <c r="M1607">
        <v>49</v>
      </c>
      <c r="N1607">
        <v>0</v>
      </c>
      <c r="O1607" s="1">
        <v>45582.561759259261</v>
      </c>
      <c r="P1607" t="s">
        <v>138</v>
      </c>
    </row>
    <row r="1608" spans="1:16" x14ac:dyDescent="0.3">
      <c r="A1608" t="s">
        <v>25</v>
      </c>
      <c r="B1608" s="1">
        <v>45582.561469907407</v>
      </c>
      <c r="C1608" t="str">
        <f t="shared" si="308"/>
        <v>41</v>
      </c>
      <c r="D1608" t="s">
        <v>120</v>
      </c>
      <c r="E1608" t="s">
        <v>116</v>
      </c>
      <c r="F1608" t="s">
        <v>117</v>
      </c>
      <c r="H1608" t="s">
        <v>503</v>
      </c>
      <c r="I1608" t="str">
        <f>"101050002024496"</f>
        <v>101050002024496</v>
      </c>
      <c r="J1608" t="str">
        <f t="shared" ref="J1608:J1614" si="309">"127802"</f>
        <v>127802</v>
      </c>
      <c r="K1608" t="s">
        <v>6</v>
      </c>
      <c r="L1608">
        <v>91</v>
      </c>
      <c r="M1608">
        <v>91</v>
      </c>
      <c r="N1608">
        <v>0</v>
      </c>
      <c r="O1608" s="1">
        <v>45582.561469907407</v>
      </c>
      <c r="P1608" t="s">
        <v>125</v>
      </c>
    </row>
    <row r="1609" spans="1:16" x14ac:dyDescent="0.3">
      <c r="A1609" t="s">
        <v>25</v>
      </c>
      <c r="B1609" s="1">
        <v>45582.561469907407</v>
      </c>
      <c r="C1609" t="str">
        <f t="shared" si="308"/>
        <v>41</v>
      </c>
      <c r="D1609" t="s">
        <v>120</v>
      </c>
      <c r="E1609" t="s">
        <v>116</v>
      </c>
      <c r="F1609" t="s">
        <v>117</v>
      </c>
      <c r="H1609" t="s">
        <v>503</v>
      </c>
      <c r="I1609" t="str">
        <f>"101050002021352"</f>
        <v>101050002021352</v>
      </c>
      <c r="J1609" t="str">
        <f t="shared" si="309"/>
        <v>127802</v>
      </c>
      <c r="K1609" t="s">
        <v>6</v>
      </c>
      <c r="L1609">
        <v>91</v>
      </c>
      <c r="M1609">
        <v>91</v>
      </c>
      <c r="N1609">
        <v>0</v>
      </c>
      <c r="O1609" s="1">
        <v>45582.561469907407</v>
      </c>
      <c r="P1609" t="s">
        <v>125</v>
      </c>
    </row>
    <row r="1610" spans="1:16" x14ac:dyDescent="0.3">
      <c r="A1610" t="s">
        <v>25</v>
      </c>
      <c r="B1610" s="1">
        <v>45582.561469907407</v>
      </c>
      <c r="C1610" t="str">
        <f t="shared" si="308"/>
        <v>41</v>
      </c>
      <c r="D1610" t="s">
        <v>120</v>
      </c>
      <c r="E1610" t="s">
        <v>116</v>
      </c>
      <c r="F1610" t="s">
        <v>117</v>
      </c>
      <c r="H1610" t="s">
        <v>503</v>
      </c>
      <c r="I1610" t="str">
        <f>"101050002017632"</f>
        <v>101050002017632</v>
      </c>
      <c r="J1610" t="str">
        <f t="shared" si="309"/>
        <v>127802</v>
      </c>
      <c r="K1610" t="s">
        <v>6</v>
      </c>
      <c r="L1610">
        <v>91</v>
      </c>
      <c r="M1610">
        <v>91</v>
      </c>
      <c r="N1610">
        <v>0</v>
      </c>
      <c r="O1610" s="1">
        <v>45582.561469907407</v>
      </c>
      <c r="P1610" t="s">
        <v>125</v>
      </c>
    </row>
    <row r="1611" spans="1:16" x14ac:dyDescent="0.3">
      <c r="A1611" t="s">
        <v>25</v>
      </c>
      <c r="B1611" s="1">
        <v>45582.561469907407</v>
      </c>
      <c r="C1611" t="str">
        <f t="shared" si="308"/>
        <v>41</v>
      </c>
      <c r="D1611" t="s">
        <v>120</v>
      </c>
      <c r="E1611" t="s">
        <v>116</v>
      </c>
      <c r="F1611" t="s">
        <v>117</v>
      </c>
      <c r="H1611" t="s">
        <v>503</v>
      </c>
      <c r="I1611" t="str">
        <f>"101050002017624"</f>
        <v>101050002017624</v>
      </c>
      <c r="J1611" t="str">
        <f t="shared" si="309"/>
        <v>127802</v>
      </c>
      <c r="K1611" t="s">
        <v>6</v>
      </c>
      <c r="L1611">
        <v>91</v>
      </c>
      <c r="M1611">
        <v>91</v>
      </c>
      <c r="N1611">
        <v>0</v>
      </c>
      <c r="O1611" s="1">
        <v>45582.561469907407</v>
      </c>
      <c r="P1611" t="s">
        <v>125</v>
      </c>
    </row>
    <row r="1612" spans="1:16" x14ac:dyDescent="0.3">
      <c r="A1612" t="s">
        <v>25</v>
      </c>
      <c r="B1612" s="1">
        <v>45582.561469907407</v>
      </c>
      <c r="C1612" t="str">
        <f t="shared" si="308"/>
        <v>41</v>
      </c>
      <c r="D1612" t="s">
        <v>120</v>
      </c>
      <c r="E1612" t="s">
        <v>116</v>
      </c>
      <c r="F1612" t="s">
        <v>117</v>
      </c>
      <c r="H1612" t="s">
        <v>503</v>
      </c>
      <c r="I1612" t="str">
        <f>"101050002017626"</f>
        <v>101050002017626</v>
      </c>
      <c r="J1612" t="str">
        <f t="shared" si="309"/>
        <v>127802</v>
      </c>
      <c r="K1612" t="s">
        <v>6</v>
      </c>
      <c r="L1612">
        <v>91</v>
      </c>
      <c r="M1612">
        <v>91</v>
      </c>
      <c r="N1612">
        <v>0</v>
      </c>
      <c r="O1612" s="1">
        <v>45582.561469907407</v>
      </c>
      <c r="P1612" t="s">
        <v>125</v>
      </c>
    </row>
    <row r="1613" spans="1:16" x14ac:dyDescent="0.3">
      <c r="A1613" t="s">
        <v>25</v>
      </c>
      <c r="B1613" s="1">
        <v>45582.56145833333</v>
      </c>
      <c r="C1613" t="str">
        <f t="shared" si="308"/>
        <v>41</v>
      </c>
      <c r="D1613" t="s">
        <v>120</v>
      </c>
      <c r="E1613" t="s">
        <v>116</v>
      </c>
      <c r="F1613" t="s">
        <v>117</v>
      </c>
      <c r="H1613" t="s">
        <v>503</v>
      </c>
      <c r="I1613" t="str">
        <f>"101050002017623"</f>
        <v>101050002017623</v>
      </c>
      <c r="J1613" t="str">
        <f t="shared" si="309"/>
        <v>127802</v>
      </c>
      <c r="K1613" t="s">
        <v>6</v>
      </c>
      <c r="L1613">
        <v>91</v>
      </c>
      <c r="M1613">
        <v>91</v>
      </c>
      <c r="N1613">
        <v>0</v>
      </c>
      <c r="O1613" s="1">
        <v>45582.56145833333</v>
      </c>
      <c r="P1613" t="s">
        <v>125</v>
      </c>
    </row>
    <row r="1614" spans="1:16" x14ac:dyDescent="0.3">
      <c r="A1614" t="s">
        <v>25</v>
      </c>
      <c r="B1614" s="1">
        <v>45582.56145833333</v>
      </c>
      <c r="C1614" t="str">
        <f t="shared" si="308"/>
        <v>41</v>
      </c>
      <c r="D1614" t="s">
        <v>120</v>
      </c>
      <c r="E1614" t="s">
        <v>116</v>
      </c>
      <c r="F1614" t="s">
        <v>117</v>
      </c>
      <c r="H1614" t="s">
        <v>503</v>
      </c>
      <c r="I1614" t="str">
        <f>"101050002016298"</f>
        <v>101050002016298</v>
      </c>
      <c r="J1614" t="str">
        <f t="shared" si="309"/>
        <v>127802</v>
      </c>
      <c r="K1614" t="s">
        <v>6</v>
      </c>
      <c r="L1614">
        <v>91</v>
      </c>
      <c r="M1614">
        <v>91</v>
      </c>
      <c r="N1614">
        <v>0</v>
      </c>
      <c r="O1614" s="1">
        <v>45582.56145833333</v>
      </c>
      <c r="P1614" t="s">
        <v>125</v>
      </c>
    </row>
    <row r="1615" spans="1:16" x14ac:dyDescent="0.3">
      <c r="A1615" t="s">
        <v>25</v>
      </c>
      <c r="B1615" s="1">
        <v>45582.560671296298</v>
      </c>
      <c r="C1615" t="str">
        <f>"38"</f>
        <v>38</v>
      </c>
      <c r="D1615" t="s">
        <v>115</v>
      </c>
      <c r="E1615" t="s">
        <v>116</v>
      </c>
      <c r="F1615" t="s">
        <v>117</v>
      </c>
      <c r="H1615" t="s">
        <v>505</v>
      </c>
      <c r="L1615">
        <v>0</v>
      </c>
      <c r="M1615">
        <v>0</v>
      </c>
      <c r="N1615">
        <v>0</v>
      </c>
      <c r="O1615" s="1">
        <v>45582.560671296298</v>
      </c>
      <c r="P1615" t="s">
        <v>122</v>
      </c>
    </row>
    <row r="1616" spans="1:16" x14ac:dyDescent="0.3">
      <c r="A1616" t="s">
        <v>25</v>
      </c>
      <c r="B1616" s="1">
        <v>45582.560671296298</v>
      </c>
      <c r="C1616" t="str">
        <f t="shared" ref="C1616:C1622" si="310">"41"</f>
        <v>41</v>
      </c>
      <c r="D1616" t="s">
        <v>120</v>
      </c>
      <c r="E1616" t="s">
        <v>116</v>
      </c>
      <c r="F1616" t="s">
        <v>117</v>
      </c>
      <c r="H1616" t="s">
        <v>505</v>
      </c>
      <c r="I1616" t="str">
        <f>"101050002023615"</f>
        <v>101050002023615</v>
      </c>
      <c r="J1616" t="str">
        <f t="shared" ref="J1616:J1622" si="311">"515120"</f>
        <v>515120</v>
      </c>
      <c r="K1616" t="s">
        <v>2</v>
      </c>
      <c r="L1616">
        <v>49</v>
      </c>
      <c r="M1616">
        <v>49</v>
      </c>
      <c r="N1616">
        <v>0</v>
      </c>
      <c r="O1616" s="1">
        <v>45582.560671296298</v>
      </c>
      <c r="P1616" t="s">
        <v>122</v>
      </c>
    </row>
    <row r="1617" spans="1:16" x14ac:dyDescent="0.3">
      <c r="A1617" t="s">
        <v>25</v>
      </c>
      <c r="B1617" s="1">
        <v>45582.560671296298</v>
      </c>
      <c r="C1617" t="str">
        <f t="shared" si="310"/>
        <v>41</v>
      </c>
      <c r="D1617" t="s">
        <v>120</v>
      </c>
      <c r="E1617" t="s">
        <v>116</v>
      </c>
      <c r="F1617" t="s">
        <v>117</v>
      </c>
      <c r="H1617" t="s">
        <v>505</v>
      </c>
      <c r="I1617" t="str">
        <f>"101050002023613"</f>
        <v>101050002023613</v>
      </c>
      <c r="J1617" t="str">
        <f t="shared" si="311"/>
        <v>515120</v>
      </c>
      <c r="K1617" t="s">
        <v>2</v>
      </c>
      <c r="L1617">
        <v>49</v>
      </c>
      <c r="M1617">
        <v>49</v>
      </c>
      <c r="N1617">
        <v>0</v>
      </c>
      <c r="O1617" s="1">
        <v>45582.560671296298</v>
      </c>
      <c r="P1617" t="s">
        <v>122</v>
      </c>
    </row>
    <row r="1618" spans="1:16" x14ac:dyDescent="0.3">
      <c r="A1618" t="s">
        <v>25</v>
      </c>
      <c r="B1618" s="1">
        <v>45582.560671296298</v>
      </c>
      <c r="C1618" t="str">
        <f t="shared" si="310"/>
        <v>41</v>
      </c>
      <c r="D1618" t="s">
        <v>120</v>
      </c>
      <c r="E1618" t="s">
        <v>116</v>
      </c>
      <c r="F1618" t="s">
        <v>117</v>
      </c>
      <c r="H1618" t="s">
        <v>505</v>
      </c>
      <c r="I1618" t="str">
        <f>"101050002023506"</f>
        <v>101050002023506</v>
      </c>
      <c r="J1618" t="str">
        <f t="shared" si="311"/>
        <v>515120</v>
      </c>
      <c r="K1618" t="s">
        <v>2</v>
      </c>
      <c r="L1618">
        <v>49</v>
      </c>
      <c r="M1618">
        <v>49</v>
      </c>
      <c r="N1618">
        <v>0</v>
      </c>
      <c r="O1618" s="1">
        <v>45582.560671296298</v>
      </c>
      <c r="P1618" t="s">
        <v>122</v>
      </c>
    </row>
    <row r="1619" spans="1:16" x14ac:dyDescent="0.3">
      <c r="A1619" t="s">
        <v>25</v>
      </c>
      <c r="B1619" s="1">
        <v>45582.560659722221</v>
      </c>
      <c r="C1619" t="str">
        <f t="shared" si="310"/>
        <v>41</v>
      </c>
      <c r="D1619" t="s">
        <v>120</v>
      </c>
      <c r="E1619" t="s">
        <v>116</v>
      </c>
      <c r="F1619" t="s">
        <v>117</v>
      </c>
      <c r="H1619" t="s">
        <v>505</v>
      </c>
      <c r="I1619" t="str">
        <f>"101050002023488"</f>
        <v>101050002023488</v>
      </c>
      <c r="J1619" t="str">
        <f t="shared" si="311"/>
        <v>515120</v>
      </c>
      <c r="K1619" t="s">
        <v>2</v>
      </c>
      <c r="L1619">
        <v>49</v>
      </c>
      <c r="M1619">
        <v>49</v>
      </c>
      <c r="N1619">
        <v>0</v>
      </c>
      <c r="O1619" s="1">
        <v>45582.560659722221</v>
      </c>
      <c r="P1619" t="s">
        <v>122</v>
      </c>
    </row>
    <row r="1620" spans="1:16" x14ac:dyDescent="0.3">
      <c r="A1620" t="s">
        <v>25</v>
      </c>
      <c r="B1620" s="1">
        <v>45582.560659722221</v>
      </c>
      <c r="C1620" t="str">
        <f t="shared" si="310"/>
        <v>41</v>
      </c>
      <c r="D1620" t="s">
        <v>120</v>
      </c>
      <c r="E1620" t="s">
        <v>116</v>
      </c>
      <c r="F1620" t="s">
        <v>117</v>
      </c>
      <c r="H1620" t="s">
        <v>505</v>
      </c>
      <c r="I1620" t="str">
        <f>"101050002022383"</f>
        <v>101050002022383</v>
      </c>
      <c r="J1620" t="str">
        <f t="shared" si="311"/>
        <v>515120</v>
      </c>
      <c r="K1620" t="s">
        <v>2</v>
      </c>
      <c r="L1620">
        <v>49</v>
      </c>
      <c r="M1620">
        <v>49</v>
      </c>
      <c r="N1620">
        <v>0</v>
      </c>
      <c r="O1620" s="1">
        <v>45582.560659722221</v>
      </c>
      <c r="P1620" t="s">
        <v>122</v>
      </c>
    </row>
    <row r="1621" spans="1:16" x14ac:dyDescent="0.3">
      <c r="A1621" t="s">
        <v>25</v>
      </c>
      <c r="B1621" s="1">
        <v>45582.560659722221</v>
      </c>
      <c r="C1621" t="str">
        <f t="shared" si="310"/>
        <v>41</v>
      </c>
      <c r="D1621" t="s">
        <v>120</v>
      </c>
      <c r="E1621" t="s">
        <v>116</v>
      </c>
      <c r="F1621" t="s">
        <v>117</v>
      </c>
      <c r="H1621" t="s">
        <v>505</v>
      </c>
      <c r="I1621" t="str">
        <f>"101050002022277"</f>
        <v>101050002022277</v>
      </c>
      <c r="J1621" t="str">
        <f t="shared" si="311"/>
        <v>515120</v>
      </c>
      <c r="K1621" t="s">
        <v>2</v>
      </c>
      <c r="L1621">
        <v>49</v>
      </c>
      <c r="M1621">
        <v>49</v>
      </c>
      <c r="N1621">
        <v>0</v>
      </c>
      <c r="O1621" s="1">
        <v>45582.560659722221</v>
      </c>
      <c r="P1621" t="s">
        <v>122</v>
      </c>
    </row>
    <row r="1622" spans="1:16" x14ac:dyDescent="0.3">
      <c r="A1622" t="s">
        <v>25</v>
      </c>
      <c r="B1622" s="1">
        <v>45582.560659722221</v>
      </c>
      <c r="C1622" t="str">
        <f t="shared" si="310"/>
        <v>41</v>
      </c>
      <c r="D1622" t="s">
        <v>120</v>
      </c>
      <c r="E1622" t="s">
        <v>116</v>
      </c>
      <c r="F1622" t="s">
        <v>117</v>
      </c>
      <c r="H1622" t="s">
        <v>505</v>
      </c>
      <c r="I1622" t="str">
        <f>"101050002022104"</f>
        <v>101050002022104</v>
      </c>
      <c r="J1622" t="str">
        <f t="shared" si="311"/>
        <v>515120</v>
      </c>
      <c r="K1622" t="s">
        <v>2</v>
      </c>
      <c r="L1622">
        <v>49</v>
      </c>
      <c r="M1622">
        <v>49</v>
      </c>
      <c r="N1622">
        <v>0</v>
      </c>
      <c r="O1622" s="1">
        <v>45582.560659722221</v>
      </c>
      <c r="P1622" t="s">
        <v>122</v>
      </c>
    </row>
    <row r="1623" spans="1:16" x14ac:dyDescent="0.3">
      <c r="A1623" t="s">
        <v>25</v>
      </c>
      <c r="B1623" s="1">
        <v>45582.559212962966</v>
      </c>
      <c r="C1623" t="str">
        <f>"38"</f>
        <v>38</v>
      </c>
      <c r="D1623" t="s">
        <v>115</v>
      </c>
      <c r="E1623" t="s">
        <v>116</v>
      </c>
      <c r="F1623" t="s">
        <v>117</v>
      </c>
      <c r="H1623" t="s">
        <v>506</v>
      </c>
      <c r="L1623">
        <v>0</v>
      </c>
      <c r="M1623">
        <v>0</v>
      </c>
      <c r="N1623">
        <v>0</v>
      </c>
      <c r="O1623" s="1">
        <v>45582.559212962966</v>
      </c>
      <c r="P1623" t="s">
        <v>138</v>
      </c>
    </row>
    <row r="1624" spans="1:16" x14ac:dyDescent="0.3">
      <c r="A1624" t="s">
        <v>25</v>
      </c>
      <c r="B1624" s="1">
        <v>45582.559212962966</v>
      </c>
      <c r="C1624" t="str">
        <f>"41"</f>
        <v>41</v>
      </c>
      <c r="D1624" t="s">
        <v>120</v>
      </c>
      <c r="E1624" t="s">
        <v>116</v>
      </c>
      <c r="F1624" t="s">
        <v>117</v>
      </c>
      <c r="H1624" t="s">
        <v>506</v>
      </c>
      <c r="I1624" t="str">
        <f>"101050002017147"</f>
        <v>101050002017147</v>
      </c>
      <c r="J1624" t="str">
        <f>"127802"</f>
        <v>127802</v>
      </c>
      <c r="K1624" t="s">
        <v>6</v>
      </c>
      <c r="L1624">
        <v>91</v>
      </c>
      <c r="M1624">
        <v>91</v>
      </c>
      <c r="N1624">
        <v>0</v>
      </c>
      <c r="O1624" s="1">
        <v>45582.559212962966</v>
      </c>
      <c r="P1624" t="s">
        <v>138</v>
      </c>
    </row>
    <row r="1625" spans="1:16" x14ac:dyDescent="0.3">
      <c r="A1625" t="s">
        <v>25</v>
      </c>
      <c r="B1625" s="1">
        <v>45582.559212962966</v>
      </c>
      <c r="C1625" t="str">
        <f>"41"</f>
        <v>41</v>
      </c>
      <c r="D1625" t="s">
        <v>120</v>
      </c>
      <c r="E1625" t="s">
        <v>116</v>
      </c>
      <c r="F1625" t="s">
        <v>117</v>
      </c>
      <c r="H1625" t="s">
        <v>506</v>
      </c>
      <c r="I1625" t="str">
        <f>"101050002017143"</f>
        <v>101050002017143</v>
      </c>
      <c r="J1625" t="str">
        <f>"127802"</f>
        <v>127802</v>
      </c>
      <c r="K1625" t="s">
        <v>6</v>
      </c>
      <c r="L1625">
        <v>91</v>
      </c>
      <c r="M1625">
        <v>91</v>
      </c>
      <c r="N1625">
        <v>0</v>
      </c>
      <c r="O1625" s="1">
        <v>45582.559212962966</v>
      </c>
      <c r="P1625" t="s">
        <v>138</v>
      </c>
    </row>
    <row r="1626" spans="1:16" x14ac:dyDescent="0.3">
      <c r="A1626" t="s">
        <v>25</v>
      </c>
      <c r="B1626" s="1">
        <v>45582.559212962966</v>
      </c>
      <c r="C1626" t="str">
        <f>"41"</f>
        <v>41</v>
      </c>
      <c r="D1626" t="s">
        <v>120</v>
      </c>
      <c r="E1626" t="s">
        <v>116</v>
      </c>
      <c r="F1626" t="s">
        <v>117</v>
      </c>
      <c r="H1626" t="s">
        <v>506</v>
      </c>
      <c r="I1626" t="str">
        <f>"101050002015995"</f>
        <v>101050002015995</v>
      </c>
      <c r="J1626" t="str">
        <f>"127802"</f>
        <v>127802</v>
      </c>
      <c r="K1626" t="s">
        <v>6</v>
      </c>
      <c r="L1626">
        <v>91</v>
      </c>
      <c r="M1626">
        <v>91</v>
      </c>
      <c r="N1626">
        <v>0</v>
      </c>
      <c r="O1626" s="1">
        <v>45582.559212962966</v>
      </c>
      <c r="P1626" t="s">
        <v>138</v>
      </c>
    </row>
    <row r="1627" spans="1:16" x14ac:dyDescent="0.3">
      <c r="A1627" t="s">
        <v>25</v>
      </c>
      <c r="B1627" s="1">
        <v>45582.559120370373</v>
      </c>
      <c r="C1627" t="str">
        <f>"38"</f>
        <v>38</v>
      </c>
      <c r="D1627" t="s">
        <v>115</v>
      </c>
      <c r="E1627" t="s">
        <v>116</v>
      </c>
      <c r="F1627" t="s">
        <v>117</v>
      </c>
      <c r="H1627" t="s">
        <v>507</v>
      </c>
      <c r="L1627">
        <v>0</v>
      </c>
      <c r="M1627">
        <v>0</v>
      </c>
      <c r="N1627">
        <v>0</v>
      </c>
      <c r="O1627" s="1">
        <v>45582.559120370373</v>
      </c>
      <c r="P1627" t="s">
        <v>119</v>
      </c>
    </row>
    <row r="1628" spans="1:16" x14ac:dyDescent="0.3">
      <c r="A1628" t="s">
        <v>25</v>
      </c>
      <c r="B1628" s="1">
        <v>45582.559108796297</v>
      </c>
      <c r="C1628" t="str">
        <f>"41"</f>
        <v>41</v>
      </c>
      <c r="D1628" t="s">
        <v>120</v>
      </c>
      <c r="E1628" t="s">
        <v>116</v>
      </c>
      <c r="F1628" t="s">
        <v>117</v>
      </c>
      <c r="H1628" t="s">
        <v>507</v>
      </c>
      <c r="I1628" t="str">
        <f>"101050002011791"</f>
        <v>101050002011791</v>
      </c>
      <c r="J1628" t="str">
        <f>"125193"</f>
        <v>125193</v>
      </c>
      <c r="K1628" t="s">
        <v>43</v>
      </c>
      <c r="L1628">
        <v>49</v>
      </c>
      <c r="M1628">
        <v>49</v>
      </c>
      <c r="N1628">
        <v>0</v>
      </c>
      <c r="O1628" s="1">
        <v>45582.559108796297</v>
      </c>
      <c r="P1628" t="s">
        <v>119</v>
      </c>
    </row>
    <row r="1629" spans="1:16" x14ac:dyDescent="0.3">
      <c r="A1629" t="s">
        <v>25</v>
      </c>
      <c r="B1629" s="1">
        <v>45582.559108796297</v>
      </c>
      <c r="C1629" t="str">
        <f>"41"</f>
        <v>41</v>
      </c>
      <c r="D1629" t="s">
        <v>120</v>
      </c>
      <c r="E1629" t="s">
        <v>116</v>
      </c>
      <c r="F1629" t="s">
        <v>117</v>
      </c>
      <c r="H1629" t="s">
        <v>507</v>
      </c>
      <c r="I1629" t="str">
        <f>"101050002011793"</f>
        <v>101050002011793</v>
      </c>
      <c r="J1629" t="str">
        <f>"125193"</f>
        <v>125193</v>
      </c>
      <c r="K1629" t="s">
        <v>43</v>
      </c>
      <c r="L1629">
        <v>49</v>
      </c>
      <c r="M1629">
        <v>49</v>
      </c>
      <c r="N1629">
        <v>0</v>
      </c>
      <c r="O1629" s="1">
        <v>45582.559108796297</v>
      </c>
      <c r="P1629" t="s">
        <v>119</v>
      </c>
    </row>
    <row r="1630" spans="1:16" x14ac:dyDescent="0.3">
      <c r="A1630" t="s">
        <v>25</v>
      </c>
      <c r="B1630" s="1">
        <v>45582.559108796297</v>
      </c>
      <c r="C1630" t="str">
        <f>"41"</f>
        <v>41</v>
      </c>
      <c r="D1630" t="s">
        <v>120</v>
      </c>
      <c r="E1630" t="s">
        <v>116</v>
      </c>
      <c r="F1630" t="s">
        <v>117</v>
      </c>
      <c r="H1630" t="s">
        <v>507</v>
      </c>
      <c r="I1630" t="str">
        <f>"101050002011657"</f>
        <v>101050002011657</v>
      </c>
      <c r="J1630" t="str">
        <f>"125193"</f>
        <v>125193</v>
      </c>
      <c r="K1630" t="s">
        <v>43</v>
      </c>
      <c r="L1630">
        <v>49</v>
      </c>
      <c r="M1630">
        <v>49</v>
      </c>
      <c r="N1630">
        <v>0</v>
      </c>
      <c r="O1630" s="1">
        <v>45582.559108796297</v>
      </c>
      <c r="P1630" t="s">
        <v>119</v>
      </c>
    </row>
    <row r="1631" spans="1:16" x14ac:dyDescent="0.3">
      <c r="A1631" t="s">
        <v>25</v>
      </c>
      <c r="B1631" s="1">
        <v>45582.559108796297</v>
      </c>
      <c r="C1631" t="str">
        <f>"41"</f>
        <v>41</v>
      </c>
      <c r="D1631" t="s">
        <v>120</v>
      </c>
      <c r="E1631" t="s">
        <v>116</v>
      </c>
      <c r="F1631" t="s">
        <v>117</v>
      </c>
      <c r="H1631" t="s">
        <v>507</v>
      </c>
      <c r="I1631" t="str">
        <f>"101050002011792"</f>
        <v>101050002011792</v>
      </c>
      <c r="J1631" t="str">
        <f>"125193"</f>
        <v>125193</v>
      </c>
      <c r="K1631" t="s">
        <v>43</v>
      </c>
      <c r="L1631">
        <v>49</v>
      </c>
      <c r="M1631">
        <v>49</v>
      </c>
      <c r="N1631">
        <v>0</v>
      </c>
      <c r="O1631" s="1">
        <v>45582.559108796297</v>
      </c>
      <c r="P1631" t="s">
        <v>119</v>
      </c>
    </row>
    <row r="1632" spans="1:16" x14ac:dyDescent="0.3">
      <c r="A1632" t="s">
        <v>25</v>
      </c>
      <c r="B1632" s="1">
        <v>45582.559108796297</v>
      </c>
      <c r="C1632" t="str">
        <f>"38"</f>
        <v>38</v>
      </c>
      <c r="D1632" t="s">
        <v>115</v>
      </c>
      <c r="E1632" t="s">
        <v>116</v>
      </c>
      <c r="F1632" t="s">
        <v>117</v>
      </c>
      <c r="H1632" t="s">
        <v>508</v>
      </c>
      <c r="L1632">
        <v>0</v>
      </c>
      <c r="M1632">
        <v>0</v>
      </c>
      <c r="N1632">
        <v>0</v>
      </c>
      <c r="O1632" s="1">
        <v>45582.559108796297</v>
      </c>
      <c r="P1632" t="s">
        <v>122</v>
      </c>
    </row>
    <row r="1633" spans="1:16" x14ac:dyDescent="0.3">
      <c r="A1633" t="s">
        <v>25</v>
      </c>
      <c r="B1633" s="1">
        <v>45582.559108796297</v>
      </c>
      <c r="C1633" t="str">
        <f t="shared" ref="C1633:C1639" si="312">"41"</f>
        <v>41</v>
      </c>
      <c r="D1633" t="s">
        <v>120</v>
      </c>
      <c r="E1633" t="s">
        <v>116</v>
      </c>
      <c r="F1633" t="s">
        <v>117</v>
      </c>
      <c r="H1633" t="s">
        <v>508</v>
      </c>
      <c r="I1633" t="str">
        <f>"101050002025913"</f>
        <v>101050002025913</v>
      </c>
      <c r="J1633" t="str">
        <f t="shared" ref="J1633:J1639" si="313">"515122"</f>
        <v>515122</v>
      </c>
      <c r="K1633" t="s">
        <v>4</v>
      </c>
      <c r="L1633">
        <v>49</v>
      </c>
      <c r="M1633">
        <v>49</v>
      </c>
      <c r="N1633">
        <v>0</v>
      </c>
      <c r="O1633" s="1">
        <v>45582.559108796297</v>
      </c>
      <c r="P1633" t="s">
        <v>122</v>
      </c>
    </row>
    <row r="1634" spans="1:16" x14ac:dyDescent="0.3">
      <c r="A1634" t="s">
        <v>25</v>
      </c>
      <c r="B1634" s="1">
        <v>45582.55909722222</v>
      </c>
      <c r="C1634" t="str">
        <f t="shared" si="312"/>
        <v>41</v>
      </c>
      <c r="D1634" t="s">
        <v>120</v>
      </c>
      <c r="E1634" t="s">
        <v>116</v>
      </c>
      <c r="F1634" t="s">
        <v>117</v>
      </c>
      <c r="H1634" t="s">
        <v>508</v>
      </c>
      <c r="I1634" t="str">
        <f>"101050002025478"</f>
        <v>101050002025478</v>
      </c>
      <c r="J1634" t="str">
        <f t="shared" si="313"/>
        <v>515122</v>
      </c>
      <c r="K1634" t="s">
        <v>4</v>
      </c>
      <c r="L1634">
        <v>49</v>
      </c>
      <c r="M1634">
        <v>49</v>
      </c>
      <c r="N1634">
        <v>0</v>
      </c>
      <c r="O1634" s="1">
        <v>45582.55909722222</v>
      </c>
      <c r="P1634" t="s">
        <v>122</v>
      </c>
    </row>
    <row r="1635" spans="1:16" x14ac:dyDescent="0.3">
      <c r="A1635" t="s">
        <v>25</v>
      </c>
      <c r="B1635" s="1">
        <v>45582.55909722222</v>
      </c>
      <c r="C1635" t="str">
        <f t="shared" si="312"/>
        <v>41</v>
      </c>
      <c r="D1635" t="s">
        <v>120</v>
      </c>
      <c r="E1635" t="s">
        <v>116</v>
      </c>
      <c r="F1635" t="s">
        <v>117</v>
      </c>
      <c r="H1635" t="s">
        <v>508</v>
      </c>
      <c r="I1635" t="str">
        <f>"101050002025414"</f>
        <v>101050002025414</v>
      </c>
      <c r="J1635" t="str">
        <f t="shared" si="313"/>
        <v>515122</v>
      </c>
      <c r="K1635" t="s">
        <v>4</v>
      </c>
      <c r="L1635">
        <v>49</v>
      </c>
      <c r="M1635">
        <v>49</v>
      </c>
      <c r="N1635">
        <v>0</v>
      </c>
      <c r="O1635" s="1">
        <v>45582.55909722222</v>
      </c>
      <c r="P1635" t="s">
        <v>122</v>
      </c>
    </row>
    <row r="1636" spans="1:16" x14ac:dyDescent="0.3">
      <c r="A1636" t="s">
        <v>25</v>
      </c>
      <c r="B1636" s="1">
        <v>45582.55909722222</v>
      </c>
      <c r="C1636" t="str">
        <f t="shared" si="312"/>
        <v>41</v>
      </c>
      <c r="D1636" t="s">
        <v>120</v>
      </c>
      <c r="E1636" t="s">
        <v>116</v>
      </c>
      <c r="F1636" t="s">
        <v>117</v>
      </c>
      <c r="H1636" t="s">
        <v>508</v>
      </c>
      <c r="I1636" t="str">
        <f>"101050002025412"</f>
        <v>101050002025412</v>
      </c>
      <c r="J1636" t="str">
        <f t="shared" si="313"/>
        <v>515122</v>
      </c>
      <c r="K1636" t="s">
        <v>4</v>
      </c>
      <c r="L1636">
        <v>49</v>
      </c>
      <c r="M1636">
        <v>49</v>
      </c>
      <c r="N1636">
        <v>0</v>
      </c>
      <c r="O1636" s="1">
        <v>45582.55909722222</v>
      </c>
      <c r="P1636" t="s">
        <v>122</v>
      </c>
    </row>
    <row r="1637" spans="1:16" x14ac:dyDescent="0.3">
      <c r="A1637" t="s">
        <v>25</v>
      </c>
      <c r="B1637" s="1">
        <v>45582.55909722222</v>
      </c>
      <c r="C1637" t="str">
        <f t="shared" si="312"/>
        <v>41</v>
      </c>
      <c r="D1637" t="s">
        <v>120</v>
      </c>
      <c r="E1637" t="s">
        <v>116</v>
      </c>
      <c r="F1637" t="s">
        <v>117</v>
      </c>
      <c r="H1637" t="s">
        <v>508</v>
      </c>
      <c r="I1637" t="str">
        <f>"101050002024912"</f>
        <v>101050002024912</v>
      </c>
      <c r="J1637" t="str">
        <f t="shared" si="313"/>
        <v>515122</v>
      </c>
      <c r="K1637" t="s">
        <v>4</v>
      </c>
      <c r="L1637">
        <v>49</v>
      </c>
      <c r="M1637">
        <v>49</v>
      </c>
      <c r="N1637">
        <v>0</v>
      </c>
      <c r="O1637" s="1">
        <v>45582.55909722222</v>
      </c>
      <c r="P1637" t="s">
        <v>122</v>
      </c>
    </row>
    <row r="1638" spans="1:16" x14ac:dyDescent="0.3">
      <c r="A1638" t="s">
        <v>25</v>
      </c>
      <c r="B1638" s="1">
        <v>45582.55909722222</v>
      </c>
      <c r="C1638" t="str">
        <f t="shared" si="312"/>
        <v>41</v>
      </c>
      <c r="D1638" t="s">
        <v>120</v>
      </c>
      <c r="E1638" t="s">
        <v>116</v>
      </c>
      <c r="F1638" t="s">
        <v>117</v>
      </c>
      <c r="H1638" t="s">
        <v>508</v>
      </c>
      <c r="I1638" t="str">
        <f>"101050002024630"</f>
        <v>101050002024630</v>
      </c>
      <c r="J1638" t="str">
        <f t="shared" si="313"/>
        <v>515122</v>
      </c>
      <c r="K1638" t="s">
        <v>4</v>
      </c>
      <c r="L1638">
        <v>49</v>
      </c>
      <c r="M1638">
        <v>49</v>
      </c>
      <c r="N1638">
        <v>0</v>
      </c>
      <c r="O1638" s="1">
        <v>45582.55909722222</v>
      </c>
      <c r="P1638" t="s">
        <v>122</v>
      </c>
    </row>
    <row r="1639" spans="1:16" x14ac:dyDescent="0.3">
      <c r="A1639" t="s">
        <v>25</v>
      </c>
      <c r="B1639" s="1">
        <v>45582.55909722222</v>
      </c>
      <c r="C1639" t="str">
        <f t="shared" si="312"/>
        <v>41</v>
      </c>
      <c r="D1639" t="s">
        <v>120</v>
      </c>
      <c r="E1639" t="s">
        <v>116</v>
      </c>
      <c r="F1639" t="s">
        <v>117</v>
      </c>
      <c r="H1639" t="s">
        <v>508</v>
      </c>
      <c r="I1639" t="str">
        <f>"101050002024628"</f>
        <v>101050002024628</v>
      </c>
      <c r="J1639" t="str">
        <f t="shared" si="313"/>
        <v>515122</v>
      </c>
      <c r="K1639" t="s">
        <v>4</v>
      </c>
      <c r="L1639">
        <v>49</v>
      </c>
      <c r="M1639">
        <v>49</v>
      </c>
      <c r="N1639">
        <v>0</v>
      </c>
      <c r="O1639" s="1">
        <v>45582.55909722222</v>
      </c>
      <c r="P1639" t="s">
        <v>122</v>
      </c>
    </row>
    <row r="1640" spans="1:16" x14ac:dyDescent="0.3">
      <c r="A1640" t="s">
        <v>25</v>
      </c>
      <c r="B1640" s="1">
        <v>45582.55877314815</v>
      </c>
      <c r="C1640" t="str">
        <f>"38"</f>
        <v>38</v>
      </c>
      <c r="D1640" t="s">
        <v>115</v>
      </c>
      <c r="E1640" t="s">
        <v>116</v>
      </c>
      <c r="F1640" t="s">
        <v>117</v>
      </c>
      <c r="H1640" t="s">
        <v>509</v>
      </c>
      <c r="L1640">
        <v>0</v>
      </c>
      <c r="M1640">
        <v>0</v>
      </c>
      <c r="N1640">
        <v>0</v>
      </c>
      <c r="O1640" s="1">
        <v>45582.55877314815</v>
      </c>
      <c r="P1640" t="s">
        <v>138</v>
      </c>
    </row>
    <row r="1641" spans="1:16" x14ac:dyDescent="0.3">
      <c r="A1641" t="s">
        <v>25</v>
      </c>
      <c r="B1641" s="1">
        <v>45582.55877314815</v>
      </c>
      <c r="C1641" t="str">
        <f t="shared" ref="C1641:C1646" si="314">"41"</f>
        <v>41</v>
      </c>
      <c r="D1641" t="s">
        <v>120</v>
      </c>
      <c r="E1641" t="s">
        <v>116</v>
      </c>
      <c r="F1641" t="s">
        <v>117</v>
      </c>
      <c r="H1641" t="s">
        <v>509</v>
      </c>
      <c r="I1641" t="str">
        <f>"101050002016853"</f>
        <v>101050002016853</v>
      </c>
      <c r="J1641" t="str">
        <f t="shared" ref="J1641:J1646" si="315">"514913"</f>
        <v>514913</v>
      </c>
      <c r="K1641" t="s">
        <v>93</v>
      </c>
      <c r="L1641">
        <v>91</v>
      </c>
      <c r="M1641">
        <v>91</v>
      </c>
      <c r="N1641">
        <v>0</v>
      </c>
      <c r="O1641" s="1">
        <v>45582.55877314815</v>
      </c>
      <c r="P1641" t="s">
        <v>138</v>
      </c>
    </row>
    <row r="1642" spans="1:16" x14ac:dyDescent="0.3">
      <c r="A1642" t="s">
        <v>25</v>
      </c>
      <c r="B1642" s="1">
        <v>45582.55877314815</v>
      </c>
      <c r="C1642" t="str">
        <f t="shared" si="314"/>
        <v>41</v>
      </c>
      <c r="D1642" t="s">
        <v>120</v>
      </c>
      <c r="E1642" t="s">
        <v>116</v>
      </c>
      <c r="F1642" t="s">
        <v>117</v>
      </c>
      <c r="H1642" t="s">
        <v>509</v>
      </c>
      <c r="I1642" t="str">
        <f>"101050002017077"</f>
        <v>101050002017077</v>
      </c>
      <c r="J1642" t="str">
        <f t="shared" si="315"/>
        <v>514913</v>
      </c>
      <c r="K1642" t="s">
        <v>93</v>
      </c>
      <c r="L1642">
        <v>91</v>
      </c>
      <c r="M1642">
        <v>91</v>
      </c>
      <c r="N1642">
        <v>0</v>
      </c>
      <c r="O1642" s="1">
        <v>45582.55877314815</v>
      </c>
      <c r="P1642" t="s">
        <v>138</v>
      </c>
    </row>
    <row r="1643" spans="1:16" x14ac:dyDescent="0.3">
      <c r="A1643" t="s">
        <v>25</v>
      </c>
      <c r="B1643" s="1">
        <v>45582.55877314815</v>
      </c>
      <c r="C1643" t="str">
        <f t="shared" si="314"/>
        <v>41</v>
      </c>
      <c r="D1643" t="s">
        <v>120</v>
      </c>
      <c r="E1643" t="s">
        <v>116</v>
      </c>
      <c r="F1643" t="s">
        <v>117</v>
      </c>
      <c r="H1643" t="s">
        <v>509</v>
      </c>
      <c r="I1643" t="str">
        <f>"101050002016807"</f>
        <v>101050002016807</v>
      </c>
      <c r="J1643" t="str">
        <f t="shared" si="315"/>
        <v>514913</v>
      </c>
      <c r="K1643" t="s">
        <v>93</v>
      </c>
      <c r="L1643">
        <v>91</v>
      </c>
      <c r="M1643">
        <v>91</v>
      </c>
      <c r="N1643">
        <v>0</v>
      </c>
      <c r="O1643" s="1">
        <v>45582.55877314815</v>
      </c>
      <c r="P1643" t="s">
        <v>138</v>
      </c>
    </row>
    <row r="1644" spans="1:16" x14ac:dyDescent="0.3">
      <c r="A1644" t="s">
        <v>25</v>
      </c>
      <c r="B1644" s="1">
        <v>45582.55877314815</v>
      </c>
      <c r="C1644" t="str">
        <f t="shared" si="314"/>
        <v>41</v>
      </c>
      <c r="D1644" t="s">
        <v>120</v>
      </c>
      <c r="E1644" t="s">
        <v>116</v>
      </c>
      <c r="F1644" t="s">
        <v>117</v>
      </c>
      <c r="H1644" t="s">
        <v>509</v>
      </c>
      <c r="I1644" t="str">
        <f>"101050002016932"</f>
        <v>101050002016932</v>
      </c>
      <c r="J1644" t="str">
        <f t="shared" si="315"/>
        <v>514913</v>
      </c>
      <c r="K1644" t="s">
        <v>93</v>
      </c>
      <c r="L1644">
        <v>91</v>
      </c>
      <c r="M1644">
        <v>91</v>
      </c>
      <c r="N1644">
        <v>0</v>
      </c>
      <c r="O1644" s="1">
        <v>45582.55877314815</v>
      </c>
      <c r="P1644" t="s">
        <v>138</v>
      </c>
    </row>
    <row r="1645" spans="1:16" x14ac:dyDescent="0.3">
      <c r="A1645" t="s">
        <v>25</v>
      </c>
      <c r="B1645" s="1">
        <v>45582.55877314815</v>
      </c>
      <c r="C1645" t="str">
        <f t="shared" si="314"/>
        <v>41</v>
      </c>
      <c r="D1645" t="s">
        <v>120</v>
      </c>
      <c r="E1645" t="s">
        <v>116</v>
      </c>
      <c r="F1645" t="s">
        <v>117</v>
      </c>
      <c r="H1645" t="s">
        <v>509</v>
      </c>
      <c r="I1645" t="str">
        <f>"101050002016551"</f>
        <v>101050002016551</v>
      </c>
      <c r="J1645" t="str">
        <f t="shared" si="315"/>
        <v>514913</v>
      </c>
      <c r="K1645" t="s">
        <v>93</v>
      </c>
      <c r="L1645">
        <v>91</v>
      </c>
      <c r="M1645">
        <v>91</v>
      </c>
      <c r="N1645">
        <v>0</v>
      </c>
      <c r="O1645" s="1">
        <v>45582.55877314815</v>
      </c>
      <c r="P1645" t="s">
        <v>138</v>
      </c>
    </row>
    <row r="1646" spans="1:16" x14ac:dyDescent="0.3">
      <c r="A1646" t="s">
        <v>25</v>
      </c>
      <c r="B1646" s="1">
        <v>45582.55877314815</v>
      </c>
      <c r="C1646" t="str">
        <f t="shared" si="314"/>
        <v>41</v>
      </c>
      <c r="D1646" t="s">
        <v>120</v>
      </c>
      <c r="E1646" t="s">
        <v>116</v>
      </c>
      <c r="F1646" t="s">
        <v>117</v>
      </c>
      <c r="H1646" t="s">
        <v>509</v>
      </c>
      <c r="I1646" t="str">
        <f>"101050002015865"</f>
        <v>101050002015865</v>
      </c>
      <c r="J1646" t="str">
        <f t="shared" si="315"/>
        <v>514913</v>
      </c>
      <c r="K1646" t="s">
        <v>93</v>
      </c>
      <c r="L1646">
        <v>91</v>
      </c>
      <c r="M1646">
        <v>91</v>
      </c>
      <c r="N1646">
        <v>0</v>
      </c>
      <c r="O1646" s="1">
        <v>45582.55877314815</v>
      </c>
      <c r="P1646" t="s">
        <v>138</v>
      </c>
    </row>
    <row r="1647" spans="1:16" x14ac:dyDescent="0.3">
      <c r="A1647" t="s">
        <v>25</v>
      </c>
      <c r="B1647" s="1">
        <v>45582.558009259257</v>
      </c>
      <c r="C1647" t="str">
        <f>"38"</f>
        <v>38</v>
      </c>
      <c r="D1647" t="s">
        <v>115</v>
      </c>
      <c r="E1647" t="s">
        <v>116</v>
      </c>
      <c r="F1647" t="s">
        <v>117</v>
      </c>
      <c r="H1647" t="s">
        <v>510</v>
      </c>
      <c r="L1647">
        <v>0</v>
      </c>
      <c r="M1647">
        <v>0</v>
      </c>
      <c r="N1647">
        <v>0</v>
      </c>
      <c r="O1647" s="1">
        <v>45582.558009259257</v>
      </c>
      <c r="P1647" t="s">
        <v>138</v>
      </c>
    </row>
    <row r="1648" spans="1:16" x14ac:dyDescent="0.3">
      <c r="A1648" t="s">
        <v>25</v>
      </c>
      <c r="B1648" s="1">
        <v>45582.558009259257</v>
      </c>
      <c r="C1648" t="str">
        <f t="shared" ref="C1648:C1654" si="316">"41"</f>
        <v>41</v>
      </c>
      <c r="D1648" t="s">
        <v>120</v>
      </c>
      <c r="E1648" t="s">
        <v>116</v>
      </c>
      <c r="F1648" t="s">
        <v>117</v>
      </c>
      <c r="H1648" t="s">
        <v>510</v>
      </c>
      <c r="I1648" t="str">
        <f>"101050002023419"</f>
        <v>101050002023419</v>
      </c>
      <c r="J1648" t="str">
        <f t="shared" ref="J1648:J1654" si="317">"515122"</f>
        <v>515122</v>
      </c>
      <c r="K1648" t="s">
        <v>4</v>
      </c>
      <c r="L1648">
        <v>49</v>
      </c>
      <c r="M1648">
        <v>49</v>
      </c>
      <c r="N1648">
        <v>0</v>
      </c>
      <c r="O1648" s="1">
        <v>45582.558009259257</v>
      </c>
      <c r="P1648" t="s">
        <v>138</v>
      </c>
    </row>
    <row r="1649" spans="1:16" x14ac:dyDescent="0.3">
      <c r="A1649" t="s">
        <v>25</v>
      </c>
      <c r="B1649" s="1">
        <v>45582.558009259257</v>
      </c>
      <c r="C1649" t="str">
        <f t="shared" si="316"/>
        <v>41</v>
      </c>
      <c r="D1649" t="s">
        <v>120</v>
      </c>
      <c r="E1649" t="s">
        <v>116</v>
      </c>
      <c r="F1649" t="s">
        <v>117</v>
      </c>
      <c r="H1649" t="s">
        <v>510</v>
      </c>
      <c r="I1649" t="str">
        <f>"101050002023417"</f>
        <v>101050002023417</v>
      </c>
      <c r="J1649" t="str">
        <f t="shared" si="317"/>
        <v>515122</v>
      </c>
      <c r="K1649" t="s">
        <v>4</v>
      </c>
      <c r="L1649">
        <v>49</v>
      </c>
      <c r="M1649">
        <v>49</v>
      </c>
      <c r="N1649">
        <v>0</v>
      </c>
      <c r="O1649" s="1">
        <v>45582.558009259257</v>
      </c>
      <c r="P1649" t="s">
        <v>138</v>
      </c>
    </row>
    <row r="1650" spans="1:16" x14ac:dyDescent="0.3">
      <c r="A1650" t="s">
        <v>25</v>
      </c>
      <c r="B1650" s="1">
        <v>45582.558009259257</v>
      </c>
      <c r="C1650" t="str">
        <f t="shared" si="316"/>
        <v>41</v>
      </c>
      <c r="D1650" t="s">
        <v>120</v>
      </c>
      <c r="E1650" t="s">
        <v>116</v>
      </c>
      <c r="F1650" t="s">
        <v>117</v>
      </c>
      <c r="H1650" t="s">
        <v>510</v>
      </c>
      <c r="I1650" t="str">
        <f>"101050002023518"</f>
        <v>101050002023518</v>
      </c>
      <c r="J1650" t="str">
        <f t="shared" si="317"/>
        <v>515122</v>
      </c>
      <c r="K1650" t="s">
        <v>4</v>
      </c>
      <c r="L1650">
        <v>49</v>
      </c>
      <c r="M1650">
        <v>49</v>
      </c>
      <c r="N1650">
        <v>0</v>
      </c>
      <c r="O1650" s="1">
        <v>45582.558009259257</v>
      </c>
      <c r="P1650" t="s">
        <v>138</v>
      </c>
    </row>
    <row r="1651" spans="1:16" x14ac:dyDescent="0.3">
      <c r="A1651" t="s">
        <v>25</v>
      </c>
      <c r="B1651" s="1">
        <v>45582.557997685188</v>
      </c>
      <c r="C1651" t="str">
        <f t="shared" si="316"/>
        <v>41</v>
      </c>
      <c r="D1651" t="s">
        <v>120</v>
      </c>
      <c r="E1651" t="s">
        <v>116</v>
      </c>
      <c r="F1651" t="s">
        <v>117</v>
      </c>
      <c r="H1651" t="s">
        <v>510</v>
      </c>
      <c r="I1651" t="str">
        <f>"101050002023521"</f>
        <v>101050002023521</v>
      </c>
      <c r="J1651" t="str">
        <f t="shared" si="317"/>
        <v>515122</v>
      </c>
      <c r="K1651" t="s">
        <v>4</v>
      </c>
      <c r="L1651">
        <v>49</v>
      </c>
      <c r="M1651">
        <v>49</v>
      </c>
      <c r="N1651">
        <v>0</v>
      </c>
      <c r="O1651" s="1">
        <v>45582.557997685188</v>
      </c>
      <c r="P1651" t="s">
        <v>138</v>
      </c>
    </row>
    <row r="1652" spans="1:16" x14ac:dyDescent="0.3">
      <c r="A1652" t="s">
        <v>25</v>
      </c>
      <c r="B1652" s="1">
        <v>45582.557997685188</v>
      </c>
      <c r="C1652" t="str">
        <f t="shared" si="316"/>
        <v>41</v>
      </c>
      <c r="D1652" t="s">
        <v>120</v>
      </c>
      <c r="E1652" t="s">
        <v>116</v>
      </c>
      <c r="F1652" t="s">
        <v>117</v>
      </c>
      <c r="H1652" t="s">
        <v>510</v>
      </c>
      <c r="I1652" t="str">
        <f>"101050002023523"</f>
        <v>101050002023523</v>
      </c>
      <c r="J1652" t="str">
        <f t="shared" si="317"/>
        <v>515122</v>
      </c>
      <c r="K1652" t="s">
        <v>4</v>
      </c>
      <c r="L1652">
        <v>49</v>
      </c>
      <c r="M1652">
        <v>49</v>
      </c>
      <c r="N1652">
        <v>0</v>
      </c>
      <c r="O1652" s="1">
        <v>45582.557997685188</v>
      </c>
      <c r="P1652" t="s">
        <v>138</v>
      </c>
    </row>
    <row r="1653" spans="1:16" x14ac:dyDescent="0.3">
      <c r="A1653" t="s">
        <v>25</v>
      </c>
      <c r="B1653" s="1">
        <v>45582.557997685188</v>
      </c>
      <c r="C1653" t="str">
        <f t="shared" si="316"/>
        <v>41</v>
      </c>
      <c r="D1653" t="s">
        <v>120</v>
      </c>
      <c r="E1653" t="s">
        <v>116</v>
      </c>
      <c r="F1653" t="s">
        <v>117</v>
      </c>
      <c r="H1653" t="s">
        <v>510</v>
      </c>
      <c r="I1653" t="str">
        <f>"101050002022074"</f>
        <v>101050002022074</v>
      </c>
      <c r="J1653" t="str">
        <f t="shared" si="317"/>
        <v>515122</v>
      </c>
      <c r="K1653" t="s">
        <v>4</v>
      </c>
      <c r="L1653">
        <v>49</v>
      </c>
      <c r="M1653">
        <v>49</v>
      </c>
      <c r="N1653">
        <v>0</v>
      </c>
      <c r="O1653" s="1">
        <v>45582.557997685188</v>
      </c>
      <c r="P1653" t="s">
        <v>138</v>
      </c>
    </row>
    <row r="1654" spans="1:16" x14ac:dyDescent="0.3">
      <c r="A1654" t="s">
        <v>25</v>
      </c>
      <c r="B1654" s="1">
        <v>45582.557997685188</v>
      </c>
      <c r="C1654" t="str">
        <f t="shared" si="316"/>
        <v>41</v>
      </c>
      <c r="D1654" t="s">
        <v>120</v>
      </c>
      <c r="E1654" t="s">
        <v>116</v>
      </c>
      <c r="F1654" t="s">
        <v>117</v>
      </c>
      <c r="H1654" t="s">
        <v>510</v>
      </c>
      <c r="I1654" t="str">
        <f>"101050002022028"</f>
        <v>101050002022028</v>
      </c>
      <c r="J1654" t="str">
        <f t="shared" si="317"/>
        <v>515122</v>
      </c>
      <c r="K1654" t="s">
        <v>4</v>
      </c>
      <c r="L1654">
        <v>49</v>
      </c>
      <c r="M1654">
        <v>49</v>
      </c>
      <c r="N1654">
        <v>0</v>
      </c>
      <c r="O1654" s="1">
        <v>45582.557997685188</v>
      </c>
      <c r="P1654" t="s">
        <v>138</v>
      </c>
    </row>
    <row r="1655" spans="1:16" x14ac:dyDescent="0.3">
      <c r="A1655" t="s">
        <v>25</v>
      </c>
      <c r="B1655" s="1">
        <v>45582.557349537034</v>
      </c>
      <c r="C1655" t="str">
        <f>"38"</f>
        <v>38</v>
      </c>
      <c r="D1655" t="s">
        <v>115</v>
      </c>
      <c r="E1655" t="s">
        <v>116</v>
      </c>
      <c r="F1655" t="s">
        <v>117</v>
      </c>
      <c r="H1655" t="s">
        <v>511</v>
      </c>
      <c r="L1655">
        <v>0</v>
      </c>
      <c r="M1655">
        <v>0</v>
      </c>
      <c r="N1655">
        <v>0</v>
      </c>
      <c r="O1655" s="1">
        <v>45582.557349537034</v>
      </c>
      <c r="P1655" t="s">
        <v>119</v>
      </c>
    </row>
    <row r="1656" spans="1:16" x14ac:dyDescent="0.3">
      <c r="A1656" t="s">
        <v>25</v>
      </c>
      <c r="B1656" s="1">
        <v>45582.557349537034</v>
      </c>
      <c r="C1656" t="str">
        <f t="shared" ref="C1656:C1662" si="318">"41"</f>
        <v>41</v>
      </c>
      <c r="D1656" t="s">
        <v>120</v>
      </c>
      <c r="E1656" t="s">
        <v>116</v>
      </c>
      <c r="F1656" t="s">
        <v>117</v>
      </c>
      <c r="H1656" t="s">
        <v>511</v>
      </c>
      <c r="I1656" t="str">
        <f>"101050002023277"</f>
        <v>101050002023277</v>
      </c>
      <c r="J1656" t="str">
        <f t="shared" ref="J1656:J1662" si="319">"515120"</f>
        <v>515120</v>
      </c>
      <c r="K1656" t="s">
        <v>2</v>
      </c>
      <c r="L1656">
        <v>49</v>
      </c>
      <c r="M1656">
        <v>49</v>
      </c>
      <c r="N1656">
        <v>0</v>
      </c>
      <c r="O1656" s="1">
        <v>45582.557349537034</v>
      </c>
      <c r="P1656" t="s">
        <v>119</v>
      </c>
    </row>
    <row r="1657" spans="1:16" x14ac:dyDescent="0.3">
      <c r="A1657" t="s">
        <v>25</v>
      </c>
      <c r="B1657" s="1">
        <v>45582.557337962964</v>
      </c>
      <c r="C1657" t="str">
        <f t="shared" si="318"/>
        <v>41</v>
      </c>
      <c r="D1657" t="s">
        <v>120</v>
      </c>
      <c r="E1657" t="s">
        <v>116</v>
      </c>
      <c r="F1657" t="s">
        <v>117</v>
      </c>
      <c r="H1657" t="s">
        <v>511</v>
      </c>
      <c r="I1657" t="str">
        <f>"101050002024474"</f>
        <v>101050002024474</v>
      </c>
      <c r="J1657" t="str">
        <f t="shared" si="319"/>
        <v>515120</v>
      </c>
      <c r="K1657" t="s">
        <v>2</v>
      </c>
      <c r="L1657">
        <v>49</v>
      </c>
      <c r="M1657">
        <v>49</v>
      </c>
      <c r="N1657">
        <v>0</v>
      </c>
      <c r="O1657" s="1">
        <v>45582.557337962964</v>
      </c>
      <c r="P1657" t="s">
        <v>119</v>
      </c>
    </row>
    <row r="1658" spans="1:16" x14ac:dyDescent="0.3">
      <c r="A1658" t="s">
        <v>25</v>
      </c>
      <c r="B1658" s="1">
        <v>45582.557337962964</v>
      </c>
      <c r="C1658" t="str">
        <f t="shared" si="318"/>
        <v>41</v>
      </c>
      <c r="D1658" t="s">
        <v>120</v>
      </c>
      <c r="E1658" t="s">
        <v>116</v>
      </c>
      <c r="F1658" t="s">
        <v>117</v>
      </c>
      <c r="H1658" t="s">
        <v>511</v>
      </c>
      <c r="I1658" t="str">
        <f>"101050002024446"</f>
        <v>101050002024446</v>
      </c>
      <c r="J1658" t="str">
        <f t="shared" si="319"/>
        <v>515120</v>
      </c>
      <c r="K1658" t="s">
        <v>2</v>
      </c>
      <c r="L1658">
        <v>49</v>
      </c>
      <c r="M1658">
        <v>49</v>
      </c>
      <c r="N1658">
        <v>0</v>
      </c>
      <c r="O1658" s="1">
        <v>45582.557337962964</v>
      </c>
      <c r="P1658" t="s">
        <v>119</v>
      </c>
    </row>
    <row r="1659" spans="1:16" x14ac:dyDescent="0.3">
      <c r="A1659" t="s">
        <v>25</v>
      </c>
      <c r="B1659" s="1">
        <v>45582.557337962964</v>
      </c>
      <c r="C1659" t="str">
        <f t="shared" si="318"/>
        <v>41</v>
      </c>
      <c r="D1659" t="s">
        <v>120</v>
      </c>
      <c r="E1659" t="s">
        <v>116</v>
      </c>
      <c r="F1659" t="s">
        <v>117</v>
      </c>
      <c r="H1659" t="s">
        <v>511</v>
      </c>
      <c r="I1659" t="str">
        <f>"101050002023280"</f>
        <v>101050002023280</v>
      </c>
      <c r="J1659" t="str">
        <f t="shared" si="319"/>
        <v>515120</v>
      </c>
      <c r="K1659" t="s">
        <v>2</v>
      </c>
      <c r="L1659">
        <v>49</v>
      </c>
      <c r="M1659">
        <v>49</v>
      </c>
      <c r="N1659">
        <v>0</v>
      </c>
      <c r="O1659" s="1">
        <v>45582.557337962964</v>
      </c>
      <c r="P1659" t="s">
        <v>119</v>
      </c>
    </row>
    <row r="1660" spans="1:16" x14ac:dyDescent="0.3">
      <c r="A1660" t="s">
        <v>25</v>
      </c>
      <c r="B1660" s="1">
        <v>45582.557337962964</v>
      </c>
      <c r="C1660" t="str">
        <f t="shared" si="318"/>
        <v>41</v>
      </c>
      <c r="D1660" t="s">
        <v>120</v>
      </c>
      <c r="E1660" t="s">
        <v>116</v>
      </c>
      <c r="F1660" t="s">
        <v>117</v>
      </c>
      <c r="H1660" t="s">
        <v>511</v>
      </c>
      <c r="I1660" t="str">
        <f>"101050002023279"</f>
        <v>101050002023279</v>
      </c>
      <c r="J1660" t="str">
        <f t="shared" si="319"/>
        <v>515120</v>
      </c>
      <c r="K1660" t="s">
        <v>2</v>
      </c>
      <c r="L1660">
        <v>49</v>
      </c>
      <c r="M1660">
        <v>49</v>
      </c>
      <c r="N1660">
        <v>0</v>
      </c>
      <c r="O1660" s="1">
        <v>45582.557337962964</v>
      </c>
      <c r="P1660" t="s">
        <v>119</v>
      </c>
    </row>
    <row r="1661" spans="1:16" x14ac:dyDescent="0.3">
      <c r="A1661" t="s">
        <v>25</v>
      </c>
      <c r="B1661" s="1">
        <v>45582.557337962964</v>
      </c>
      <c r="C1661" t="str">
        <f t="shared" si="318"/>
        <v>41</v>
      </c>
      <c r="D1661" t="s">
        <v>120</v>
      </c>
      <c r="E1661" t="s">
        <v>116</v>
      </c>
      <c r="F1661" t="s">
        <v>117</v>
      </c>
      <c r="H1661" t="s">
        <v>511</v>
      </c>
      <c r="I1661" t="str">
        <f>"101050002023278"</f>
        <v>101050002023278</v>
      </c>
      <c r="J1661" t="str">
        <f t="shared" si="319"/>
        <v>515120</v>
      </c>
      <c r="K1661" t="s">
        <v>2</v>
      </c>
      <c r="L1661">
        <v>49</v>
      </c>
      <c r="M1661">
        <v>49</v>
      </c>
      <c r="N1661">
        <v>0</v>
      </c>
      <c r="O1661" s="1">
        <v>45582.557337962964</v>
      </c>
      <c r="P1661" t="s">
        <v>119</v>
      </c>
    </row>
    <row r="1662" spans="1:16" x14ac:dyDescent="0.3">
      <c r="A1662" t="s">
        <v>25</v>
      </c>
      <c r="B1662" s="1">
        <v>45582.557337962964</v>
      </c>
      <c r="C1662" t="str">
        <f t="shared" si="318"/>
        <v>41</v>
      </c>
      <c r="D1662" t="s">
        <v>120</v>
      </c>
      <c r="E1662" t="s">
        <v>116</v>
      </c>
      <c r="F1662" t="s">
        <v>117</v>
      </c>
      <c r="H1662" t="s">
        <v>511</v>
      </c>
      <c r="I1662" t="str">
        <f>"101050002023276"</f>
        <v>101050002023276</v>
      </c>
      <c r="J1662" t="str">
        <f t="shared" si="319"/>
        <v>515120</v>
      </c>
      <c r="K1662" t="s">
        <v>2</v>
      </c>
      <c r="L1662">
        <v>49</v>
      </c>
      <c r="M1662">
        <v>49</v>
      </c>
      <c r="N1662">
        <v>0</v>
      </c>
      <c r="O1662" s="1">
        <v>45582.557337962964</v>
      </c>
      <c r="P1662" t="s">
        <v>119</v>
      </c>
    </row>
    <row r="1663" spans="1:16" x14ac:dyDescent="0.3">
      <c r="A1663" t="s">
        <v>25</v>
      </c>
      <c r="B1663" s="1">
        <v>45582.556747685187</v>
      </c>
      <c r="C1663" t="str">
        <f>"38"</f>
        <v>38</v>
      </c>
      <c r="D1663" t="s">
        <v>115</v>
      </c>
      <c r="E1663" t="s">
        <v>116</v>
      </c>
      <c r="F1663" t="s">
        <v>117</v>
      </c>
      <c r="H1663" t="s">
        <v>512</v>
      </c>
      <c r="L1663">
        <v>0</v>
      </c>
      <c r="M1663">
        <v>0</v>
      </c>
      <c r="N1663">
        <v>0</v>
      </c>
      <c r="O1663" s="1">
        <v>45582.556747685187</v>
      </c>
      <c r="P1663" t="s">
        <v>138</v>
      </c>
    </row>
    <row r="1664" spans="1:16" x14ac:dyDescent="0.3">
      <c r="A1664" t="s">
        <v>25</v>
      </c>
      <c r="B1664" s="1">
        <v>45582.556747685187</v>
      </c>
      <c r="C1664" t="str">
        <f t="shared" ref="C1664:C1670" si="320">"41"</f>
        <v>41</v>
      </c>
      <c r="D1664" t="s">
        <v>120</v>
      </c>
      <c r="E1664" t="s">
        <v>116</v>
      </c>
      <c r="F1664" t="s">
        <v>117</v>
      </c>
      <c r="H1664" t="s">
        <v>512</v>
      </c>
      <c r="I1664" t="str">
        <f>"101050002025898"</f>
        <v>101050002025898</v>
      </c>
      <c r="J1664" t="str">
        <f t="shared" ref="J1664:J1670" si="321">"127575"</f>
        <v>127575</v>
      </c>
      <c r="K1664" t="s">
        <v>8</v>
      </c>
      <c r="L1664">
        <v>91</v>
      </c>
      <c r="M1664">
        <v>91</v>
      </c>
      <c r="N1664">
        <v>0</v>
      </c>
      <c r="O1664" s="1">
        <v>45582.556747685187</v>
      </c>
      <c r="P1664" t="s">
        <v>138</v>
      </c>
    </row>
    <row r="1665" spans="1:16" x14ac:dyDescent="0.3">
      <c r="A1665" t="s">
        <v>25</v>
      </c>
      <c r="B1665" s="1">
        <v>45582.556747685187</v>
      </c>
      <c r="C1665" t="str">
        <f t="shared" si="320"/>
        <v>41</v>
      </c>
      <c r="D1665" t="s">
        <v>120</v>
      </c>
      <c r="E1665" t="s">
        <v>116</v>
      </c>
      <c r="F1665" t="s">
        <v>117</v>
      </c>
      <c r="H1665" t="s">
        <v>512</v>
      </c>
      <c r="I1665" t="str">
        <f>"101050002025514"</f>
        <v>101050002025514</v>
      </c>
      <c r="J1665" t="str">
        <f t="shared" si="321"/>
        <v>127575</v>
      </c>
      <c r="K1665" t="s">
        <v>8</v>
      </c>
      <c r="L1665">
        <v>91</v>
      </c>
      <c r="M1665">
        <v>91</v>
      </c>
      <c r="N1665">
        <v>0</v>
      </c>
      <c r="O1665" s="1">
        <v>45582.556747685187</v>
      </c>
      <c r="P1665" t="s">
        <v>138</v>
      </c>
    </row>
    <row r="1666" spans="1:16" x14ac:dyDescent="0.3">
      <c r="A1666" t="s">
        <v>25</v>
      </c>
      <c r="B1666" s="1">
        <v>45582.556747685187</v>
      </c>
      <c r="C1666" t="str">
        <f t="shared" si="320"/>
        <v>41</v>
      </c>
      <c r="D1666" t="s">
        <v>120</v>
      </c>
      <c r="E1666" t="s">
        <v>116</v>
      </c>
      <c r="F1666" t="s">
        <v>117</v>
      </c>
      <c r="H1666" t="s">
        <v>512</v>
      </c>
      <c r="I1666" t="str">
        <f>"101050002025512"</f>
        <v>101050002025512</v>
      </c>
      <c r="J1666" t="str">
        <f t="shared" si="321"/>
        <v>127575</v>
      </c>
      <c r="K1666" t="s">
        <v>8</v>
      </c>
      <c r="L1666">
        <v>91</v>
      </c>
      <c r="M1666">
        <v>91</v>
      </c>
      <c r="N1666">
        <v>0</v>
      </c>
      <c r="O1666" s="1">
        <v>45582.556747685187</v>
      </c>
      <c r="P1666" t="s">
        <v>138</v>
      </c>
    </row>
    <row r="1667" spans="1:16" x14ac:dyDescent="0.3">
      <c r="A1667" t="s">
        <v>25</v>
      </c>
      <c r="B1667" s="1">
        <v>45582.55673611111</v>
      </c>
      <c r="C1667" t="str">
        <f t="shared" si="320"/>
        <v>41</v>
      </c>
      <c r="D1667" t="s">
        <v>120</v>
      </c>
      <c r="E1667" t="s">
        <v>116</v>
      </c>
      <c r="F1667" t="s">
        <v>117</v>
      </c>
      <c r="H1667" t="s">
        <v>512</v>
      </c>
      <c r="I1667" t="str">
        <f>"101050002025975"</f>
        <v>101050002025975</v>
      </c>
      <c r="J1667" t="str">
        <f t="shared" si="321"/>
        <v>127575</v>
      </c>
      <c r="K1667" t="s">
        <v>8</v>
      </c>
      <c r="L1667">
        <v>91</v>
      </c>
      <c r="M1667">
        <v>91</v>
      </c>
      <c r="N1667">
        <v>0</v>
      </c>
      <c r="O1667" s="1">
        <v>45582.55673611111</v>
      </c>
      <c r="P1667" t="s">
        <v>138</v>
      </c>
    </row>
    <row r="1668" spans="1:16" x14ac:dyDescent="0.3">
      <c r="A1668" t="s">
        <v>25</v>
      </c>
      <c r="B1668" s="1">
        <v>45582.55673611111</v>
      </c>
      <c r="C1668" t="str">
        <f t="shared" si="320"/>
        <v>41</v>
      </c>
      <c r="D1668" t="s">
        <v>120</v>
      </c>
      <c r="E1668" t="s">
        <v>116</v>
      </c>
      <c r="F1668" t="s">
        <v>117</v>
      </c>
      <c r="H1668" t="s">
        <v>512</v>
      </c>
      <c r="I1668" t="str">
        <f>"101050002025043"</f>
        <v>101050002025043</v>
      </c>
      <c r="J1668" t="str">
        <f t="shared" si="321"/>
        <v>127575</v>
      </c>
      <c r="K1668" t="s">
        <v>8</v>
      </c>
      <c r="L1668">
        <v>91</v>
      </c>
      <c r="M1668">
        <v>91</v>
      </c>
      <c r="N1668">
        <v>0</v>
      </c>
      <c r="O1668" s="1">
        <v>45582.55673611111</v>
      </c>
      <c r="P1668" t="s">
        <v>138</v>
      </c>
    </row>
    <row r="1669" spans="1:16" x14ac:dyDescent="0.3">
      <c r="A1669" t="s">
        <v>25</v>
      </c>
      <c r="B1669" s="1">
        <v>45582.55673611111</v>
      </c>
      <c r="C1669" t="str">
        <f t="shared" si="320"/>
        <v>41</v>
      </c>
      <c r="D1669" t="s">
        <v>120</v>
      </c>
      <c r="E1669" t="s">
        <v>116</v>
      </c>
      <c r="F1669" t="s">
        <v>117</v>
      </c>
      <c r="H1669" t="s">
        <v>512</v>
      </c>
      <c r="I1669" t="str">
        <f>"101050002025438"</f>
        <v>101050002025438</v>
      </c>
      <c r="J1669" t="str">
        <f t="shared" si="321"/>
        <v>127575</v>
      </c>
      <c r="K1669" t="s">
        <v>8</v>
      </c>
      <c r="L1669">
        <v>91</v>
      </c>
      <c r="M1669">
        <v>91</v>
      </c>
      <c r="N1669">
        <v>0</v>
      </c>
      <c r="O1669" s="1">
        <v>45582.55673611111</v>
      </c>
      <c r="P1669" t="s">
        <v>138</v>
      </c>
    </row>
    <row r="1670" spans="1:16" x14ac:dyDescent="0.3">
      <c r="A1670" t="s">
        <v>25</v>
      </c>
      <c r="B1670" s="1">
        <v>45582.55673611111</v>
      </c>
      <c r="C1670" t="str">
        <f t="shared" si="320"/>
        <v>41</v>
      </c>
      <c r="D1670" t="s">
        <v>120</v>
      </c>
      <c r="E1670" t="s">
        <v>116</v>
      </c>
      <c r="F1670" t="s">
        <v>117</v>
      </c>
      <c r="H1670" t="s">
        <v>512</v>
      </c>
      <c r="I1670" t="str">
        <f>"101050002025439"</f>
        <v>101050002025439</v>
      </c>
      <c r="J1670" t="str">
        <f t="shared" si="321"/>
        <v>127575</v>
      </c>
      <c r="K1670" t="s">
        <v>8</v>
      </c>
      <c r="L1670">
        <v>91</v>
      </c>
      <c r="M1670">
        <v>91</v>
      </c>
      <c r="N1670">
        <v>0</v>
      </c>
      <c r="O1670" s="1">
        <v>45582.55673611111</v>
      </c>
      <c r="P1670" t="s">
        <v>138</v>
      </c>
    </row>
    <row r="1671" spans="1:16" x14ac:dyDescent="0.3">
      <c r="A1671" t="s">
        <v>25</v>
      </c>
      <c r="B1671" s="1">
        <v>45582.556597222225</v>
      </c>
      <c r="C1671" t="str">
        <f>"38"</f>
        <v>38</v>
      </c>
      <c r="D1671" t="s">
        <v>115</v>
      </c>
      <c r="E1671" t="s">
        <v>116</v>
      </c>
      <c r="F1671" t="s">
        <v>117</v>
      </c>
      <c r="H1671" t="s">
        <v>513</v>
      </c>
      <c r="L1671">
        <v>0</v>
      </c>
      <c r="M1671">
        <v>0</v>
      </c>
      <c r="N1671">
        <v>0</v>
      </c>
      <c r="O1671" s="1">
        <v>45582.556597222225</v>
      </c>
      <c r="P1671" t="s">
        <v>125</v>
      </c>
    </row>
    <row r="1672" spans="1:16" x14ac:dyDescent="0.3">
      <c r="A1672" t="s">
        <v>25</v>
      </c>
      <c r="B1672" s="1">
        <v>45582.556597222225</v>
      </c>
      <c r="C1672" t="str">
        <f t="shared" ref="C1672:C1678" si="322">"41"</f>
        <v>41</v>
      </c>
      <c r="D1672" t="s">
        <v>120</v>
      </c>
      <c r="E1672" t="s">
        <v>116</v>
      </c>
      <c r="F1672" t="s">
        <v>117</v>
      </c>
      <c r="H1672" t="s">
        <v>513</v>
      </c>
      <c r="I1672" t="str">
        <f>"101050002016365"</f>
        <v>101050002016365</v>
      </c>
      <c r="J1672" t="str">
        <f t="shared" ref="J1672:J1678" si="323">"514913"</f>
        <v>514913</v>
      </c>
      <c r="K1672" t="s">
        <v>93</v>
      </c>
      <c r="L1672">
        <v>91</v>
      </c>
      <c r="M1672">
        <v>91</v>
      </c>
      <c r="N1672">
        <v>0</v>
      </c>
      <c r="O1672" s="1">
        <v>45582.556597222225</v>
      </c>
      <c r="P1672" t="s">
        <v>125</v>
      </c>
    </row>
    <row r="1673" spans="1:16" x14ac:dyDescent="0.3">
      <c r="A1673" t="s">
        <v>25</v>
      </c>
      <c r="B1673" s="1">
        <v>45582.556585648148</v>
      </c>
      <c r="C1673" t="str">
        <f t="shared" si="322"/>
        <v>41</v>
      </c>
      <c r="D1673" t="s">
        <v>120</v>
      </c>
      <c r="E1673" t="s">
        <v>116</v>
      </c>
      <c r="F1673" t="s">
        <v>117</v>
      </c>
      <c r="H1673" t="s">
        <v>513</v>
      </c>
      <c r="I1673" t="str">
        <f>"101050002016141"</f>
        <v>101050002016141</v>
      </c>
      <c r="J1673" t="str">
        <f t="shared" si="323"/>
        <v>514913</v>
      </c>
      <c r="K1673" t="s">
        <v>93</v>
      </c>
      <c r="L1673">
        <v>91</v>
      </c>
      <c r="M1673">
        <v>91</v>
      </c>
      <c r="N1673">
        <v>0</v>
      </c>
      <c r="O1673" s="1">
        <v>45582.556585648148</v>
      </c>
      <c r="P1673" t="s">
        <v>125</v>
      </c>
    </row>
    <row r="1674" spans="1:16" x14ac:dyDescent="0.3">
      <c r="A1674" t="s">
        <v>25</v>
      </c>
      <c r="B1674" s="1">
        <v>45582.556585648148</v>
      </c>
      <c r="C1674" t="str">
        <f t="shared" si="322"/>
        <v>41</v>
      </c>
      <c r="D1674" t="s">
        <v>120</v>
      </c>
      <c r="E1674" t="s">
        <v>116</v>
      </c>
      <c r="F1674" t="s">
        <v>117</v>
      </c>
      <c r="H1674" t="s">
        <v>513</v>
      </c>
      <c r="I1674" t="str">
        <f>"101050002016585"</f>
        <v>101050002016585</v>
      </c>
      <c r="J1674" t="str">
        <f t="shared" si="323"/>
        <v>514913</v>
      </c>
      <c r="K1674" t="s">
        <v>93</v>
      </c>
      <c r="L1674">
        <v>91</v>
      </c>
      <c r="M1674">
        <v>91</v>
      </c>
      <c r="N1674">
        <v>0</v>
      </c>
      <c r="O1674" s="1">
        <v>45582.556585648148</v>
      </c>
      <c r="P1674" t="s">
        <v>125</v>
      </c>
    </row>
    <row r="1675" spans="1:16" x14ac:dyDescent="0.3">
      <c r="A1675" t="s">
        <v>25</v>
      </c>
      <c r="B1675" s="1">
        <v>45582.556585648148</v>
      </c>
      <c r="C1675" t="str">
        <f t="shared" si="322"/>
        <v>41</v>
      </c>
      <c r="D1675" t="s">
        <v>120</v>
      </c>
      <c r="E1675" t="s">
        <v>116</v>
      </c>
      <c r="F1675" t="s">
        <v>117</v>
      </c>
      <c r="H1675" t="s">
        <v>513</v>
      </c>
      <c r="I1675" t="str">
        <f>"101050002016715"</f>
        <v>101050002016715</v>
      </c>
      <c r="J1675" t="str">
        <f t="shared" si="323"/>
        <v>514913</v>
      </c>
      <c r="K1675" t="s">
        <v>93</v>
      </c>
      <c r="L1675">
        <v>91</v>
      </c>
      <c r="M1675">
        <v>91</v>
      </c>
      <c r="N1675">
        <v>0</v>
      </c>
      <c r="O1675" s="1">
        <v>45582.556585648148</v>
      </c>
      <c r="P1675" t="s">
        <v>125</v>
      </c>
    </row>
    <row r="1676" spans="1:16" x14ac:dyDescent="0.3">
      <c r="A1676" t="s">
        <v>25</v>
      </c>
      <c r="B1676" s="1">
        <v>45582.556585648148</v>
      </c>
      <c r="C1676" t="str">
        <f t="shared" si="322"/>
        <v>41</v>
      </c>
      <c r="D1676" t="s">
        <v>120</v>
      </c>
      <c r="E1676" t="s">
        <v>116</v>
      </c>
      <c r="F1676" t="s">
        <v>117</v>
      </c>
      <c r="H1676" t="s">
        <v>513</v>
      </c>
      <c r="I1676" t="str">
        <f>"101050002017490"</f>
        <v>101050002017490</v>
      </c>
      <c r="J1676" t="str">
        <f t="shared" si="323"/>
        <v>514913</v>
      </c>
      <c r="K1676" t="s">
        <v>93</v>
      </c>
      <c r="L1676">
        <v>91</v>
      </c>
      <c r="M1676">
        <v>91</v>
      </c>
      <c r="N1676">
        <v>0</v>
      </c>
      <c r="O1676" s="1">
        <v>45582.556585648148</v>
      </c>
      <c r="P1676" t="s">
        <v>125</v>
      </c>
    </row>
    <row r="1677" spans="1:16" x14ac:dyDescent="0.3">
      <c r="A1677" t="s">
        <v>25</v>
      </c>
      <c r="B1677" s="1">
        <v>45582.556585648148</v>
      </c>
      <c r="C1677" t="str">
        <f t="shared" si="322"/>
        <v>41</v>
      </c>
      <c r="D1677" t="s">
        <v>120</v>
      </c>
      <c r="E1677" t="s">
        <v>116</v>
      </c>
      <c r="F1677" t="s">
        <v>117</v>
      </c>
      <c r="H1677" t="s">
        <v>513</v>
      </c>
      <c r="I1677" t="str">
        <f>"101050002017598"</f>
        <v>101050002017598</v>
      </c>
      <c r="J1677" t="str">
        <f t="shared" si="323"/>
        <v>514913</v>
      </c>
      <c r="K1677" t="s">
        <v>93</v>
      </c>
      <c r="L1677">
        <v>91</v>
      </c>
      <c r="M1677">
        <v>91</v>
      </c>
      <c r="N1677">
        <v>0</v>
      </c>
      <c r="O1677" s="1">
        <v>45582.556585648148</v>
      </c>
      <c r="P1677" t="s">
        <v>125</v>
      </c>
    </row>
    <row r="1678" spans="1:16" x14ac:dyDescent="0.3">
      <c r="A1678" t="s">
        <v>25</v>
      </c>
      <c r="B1678" s="1">
        <v>45582.556585648148</v>
      </c>
      <c r="C1678" t="str">
        <f t="shared" si="322"/>
        <v>41</v>
      </c>
      <c r="D1678" t="s">
        <v>120</v>
      </c>
      <c r="E1678" t="s">
        <v>116</v>
      </c>
      <c r="F1678" t="s">
        <v>117</v>
      </c>
      <c r="H1678" t="s">
        <v>513</v>
      </c>
      <c r="I1678" t="str">
        <f>"101050002016027"</f>
        <v>101050002016027</v>
      </c>
      <c r="J1678" t="str">
        <f t="shared" si="323"/>
        <v>514913</v>
      </c>
      <c r="K1678" t="s">
        <v>93</v>
      </c>
      <c r="L1678">
        <v>91</v>
      </c>
      <c r="M1678">
        <v>91</v>
      </c>
      <c r="N1678">
        <v>0</v>
      </c>
      <c r="O1678" s="1">
        <v>45582.556585648148</v>
      </c>
      <c r="P1678" t="s">
        <v>125</v>
      </c>
    </row>
    <row r="1679" spans="1:16" x14ac:dyDescent="0.3">
      <c r="A1679" t="s">
        <v>25</v>
      </c>
      <c r="B1679" s="1">
        <v>45582.556157407409</v>
      </c>
      <c r="C1679" t="str">
        <f>"38"</f>
        <v>38</v>
      </c>
      <c r="D1679" t="s">
        <v>115</v>
      </c>
      <c r="E1679" t="s">
        <v>116</v>
      </c>
      <c r="F1679" t="s">
        <v>117</v>
      </c>
      <c r="H1679" t="s">
        <v>514</v>
      </c>
      <c r="L1679">
        <v>0</v>
      </c>
      <c r="M1679">
        <v>0</v>
      </c>
      <c r="N1679">
        <v>0</v>
      </c>
      <c r="O1679" s="1">
        <v>45582.556157407409</v>
      </c>
      <c r="P1679" t="s">
        <v>122</v>
      </c>
    </row>
    <row r="1680" spans="1:16" x14ac:dyDescent="0.3">
      <c r="A1680" t="s">
        <v>25</v>
      </c>
      <c r="B1680" s="1">
        <v>45582.556157407409</v>
      </c>
      <c r="C1680" t="str">
        <f t="shared" ref="C1680:C1686" si="324">"41"</f>
        <v>41</v>
      </c>
      <c r="D1680" t="s">
        <v>120</v>
      </c>
      <c r="E1680" t="s">
        <v>116</v>
      </c>
      <c r="F1680" t="s">
        <v>117</v>
      </c>
      <c r="H1680" t="s">
        <v>514</v>
      </c>
      <c r="I1680" t="str">
        <f>"101050002021985"</f>
        <v>101050002021985</v>
      </c>
      <c r="J1680" t="str">
        <f t="shared" ref="J1680:J1686" si="325">"515120"</f>
        <v>515120</v>
      </c>
      <c r="K1680" t="s">
        <v>2</v>
      </c>
      <c r="L1680">
        <v>49</v>
      </c>
      <c r="M1680">
        <v>49</v>
      </c>
      <c r="N1680">
        <v>0</v>
      </c>
      <c r="O1680" s="1">
        <v>45582.556157407409</v>
      </c>
      <c r="P1680" t="s">
        <v>122</v>
      </c>
    </row>
    <row r="1681" spans="1:16" x14ac:dyDescent="0.3">
      <c r="A1681" t="s">
        <v>25</v>
      </c>
      <c r="B1681" s="1">
        <v>45582.556157407409</v>
      </c>
      <c r="C1681" t="str">
        <f t="shared" si="324"/>
        <v>41</v>
      </c>
      <c r="D1681" t="s">
        <v>120</v>
      </c>
      <c r="E1681" t="s">
        <v>116</v>
      </c>
      <c r="F1681" t="s">
        <v>117</v>
      </c>
      <c r="H1681" t="s">
        <v>514</v>
      </c>
      <c r="I1681" t="str">
        <f>"101050002021724"</f>
        <v>101050002021724</v>
      </c>
      <c r="J1681" t="str">
        <f t="shared" si="325"/>
        <v>515120</v>
      </c>
      <c r="K1681" t="s">
        <v>2</v>
      </c>
      <c r="L1681">
        <v>49</v>
      </c>
      <c r="M1681">
        <v>49</v>
      </c>
      <c r="N1681">
        <v>0</v>
      </c>
      <c r="O1681" s="1">
        <v>45582.556157407409</v>
      </c>
      <c r="P1681" t="s">
        <v>122</v>
      </c>
    </row>
    <row r="1682" spans="1:16" x14ac:dyDescent="0.3">
      <c r="A1682" t="s">
        <v>25</v>
      </c>
      <c r="B1682" s="1">
        <v>45582.556157407409</v>
      </c>
      <c r="C1682" t="str">
        <f t="shared" si="324"/>
        <v>41</v>
      </c>
      <c r="D1682" t="s">
        <v>120</v>
      </c>
      <c r="E1682" t="s">
        <v>116</v>
      </c>
      <c r="F1682" t="s">
        <v>117</v>
      </c>
      <c r="H1682" t="s">
        <v>514</v>
      </c>
      <c r="I1682" t="str">
        <f>"101050002021967"</f>
        <v>101050002021967</v>
      </c>
      <c r="J1682" t="str">
        <f t="shared" si="325"/>
        <v>515120</v>
      </c>
      <c r="K1682" t="s">
        <v>2</v>
      </c>
      <c r="L1682">
        <v>49</v>
      </c>
      <c r="M1682">
        <v>49</v>
      </c>
      <c r="N1682">
        <v>0</v>
      </c>
      <c r="O1682" s="1">
        <v>45582.556157407409</v>
      </c>
      <c r="P1682" t="s">
        <v>122</v>
      </c>
    </row>
    <row r="1683" spans="1:16" x14ac:dyDescent="0.3">
      <c r="A1683" t="s">
        <v>25</v>
      </c>
      <c r="B1683" s="1">
        <v>45582.556157407409</v>
      </c>
      <c r="C1683" t="str">
        <f t="shared" si="324"/>
        <v>41</v>
      </c>
      <c r="D1683" t="s">
        <v>120</v>
      </c>
      <c r="E1683" t="s">
        <v>116</v>
      </c>
      <c r="F1683" t="s">
        <v>117</v>
      </c>
      <c r="H1683" t="s">
        <v>514</v>
      </c>
      <c r="I1683" t="str">
        <f>"101050002021969"</f>
        <v>101050002021969</v>
      </c>
      <c r="J1683" t="str">
        <f t="shared" si="325"/>
        <v>515120</v>
      </c>
      <c r="K1683" t="s">
        <v>2</v>
      </c>
      <c r="L1683">
        <v>49</v>
      </c>
      <c r="M1683">
        <v>49</v>
      </c>
      <c r="N1683">
        <v>0</v>
      </c>
      <c r="O1683" s="1">
        <v>45582.556157407409</v>
      </c>
      <c r="P1683" t="s">
        <v>122</v>
      </c>
    </row>
    <row r="1684" spans="1:16" x14ac:dyDescent="0.3">
      <c r="A1684" t="s">
        <v>25</v>
      </c>
      <c r="B1684" s="1">
        <v>45582.556157407409</v>
      </c>
      <c r="C1684" t="str">
        <f t="shared" si="324"/>
        <v>41</v>
      </c>
      <c r="D1684" t="s">
        <v>120</v>
      </c>
      <c r="E1684" t="s">
        <v>116</v>
      </c>
      <c r="F1684" t="s">
        <v>117</v>
      </c>
      <c r="H1684" t="s">
        <v>514</v>
      </c>
      <c r="I1684" t="str">
        <f>"101050002022050"</f>
        <v>101050002022050</v>
      </c>
      <c r="J1684" t="str">
        <f t="shared" si="325"/>
        <v>515120</v>
      </c>
      <c r="K1684" t="s">
        <v>2</v>
      </c>
      <c r="L1684">
        <v>49</v>
      </c>
      <c r="M1684">
        <v>49</v>
      </c>
      <c r="N1684">
        <v>0</v>
      </c>
      <c r="O1684" s="1">
        <v>45582.556157407409</v>
      </c>
      <c r="P1684" t="s">
        <v>122</v>
      </c>
    </row>
    <row r="1685" spans="1:16" x14ac:dyDescent="0.3">
      <c r="A1685" t="s">
        <v>25</v>
      </c>
      <c r="B1685" s="1">
        <v>45582.556145833332</v>
      </c>
      <c r="C1685" t="str">
        <f t="shared" si="324"/>
        <v>41</v>
      </c>
      <c r="D1685" t="s">
        <v>120</v>
      </c>
      <c r="E1685" t="s">
        <v>116</v>
      </c>
      <c r="F1685" t="s">
        <v>117</v>
      </c>
      <c r="H1685" t="s">
        <v>514</v>
      </c>
      <c r="I1685" t="str">
        <f>"101050002020716"</f>
        <v>101050002020716</v>
      </c>
      <c r="J1685" t="str">
        <f t="shared" si="325"/>
        <v>515120</v>
      </c>
      <c r="K1685" t="s">
        <v>2</v>
      </c>
      <c r="L1685">
        <v>49</v>
      </c>
      <c r="M1685">
        <v>49</v>
      </c>
      <c r="N1685">
        <v>0</v>
      </c>
      <c r="O1685" s="1">
        <v>45582.556145833332</v>
      </c>
      <c r="P1685" t="s">
        <v>122</v>
      </c>
    </row>
    <row r="1686" spans="1:16" x14ac:dyDescent="0.3">
      <c r="A1686" t="s">
        <v>25</v>
      </c>
      <c r="B1686" s="1">
        <v>45582.556145833332</v>
      </c>
      <c r="C1686" t="str">
        <f t="shared" si="324"/>
        <v>41</v>
      </c>
      <c r="D1686" t="s">
        <v>120</v>
      </c>
      <c r="E1686" t="s">
        <v>116</v>
      </c>
      <c r="F1686" t="s">
        <v>117</v>
      </c>
      <c r="H1686" t="s">
        <v>514</v>
      </c>
      <c r="I1686" t="str">
        <f>"101050002020759"</f>
        <v>101050002020759</v>
      </c>
      <c r="J1686" t="str">
        <f t="shared" si="325"/>
        <v>515120</v>
      </c>
      <c r="K1686" t="s">
        <v>2</v>
      </c>
      <c r="L1686">
        <v>49</v>
      </c>
      <c r="M1686">
        <v>49</v>
      </c>
      <c r="N1686">
        <v>0</v>
      </c>
      <c r="O1686" s="1">
        <v>45582.556145833332</v>
      </c>
      <c r="P1686" t="s">
        <v>122</v>
      </c>
    </row>
    <row r="1687" spans="1:16" x14ac:dyDescent="0.3">
      <c r="A1687" t="s">
        <v>25</v>
      </c>
      <c r="B1687" s="1">
        <v>45582.555960648147</v>
      </c>
      <c r="C1687" t="str">
        <f>"38"</f>
        <v>38</v>
      </c>
      <c r="D1687" t="s">
        <v>115</v>
      </c>
      <c r="E1687" t="s">
        <v>116</v>
      </c>
      <c r="F1687" t="s">
        <v>117</v>
      </c>
      <c r="H1687" t="s">
        <v>515</v>
      </c>
      <c r="L1687">
        <v>0</v>
      </c>
      <c r="M1687">
        <v>0</v>
      </c>
      <c r="N1687">
        <v>0</v>
      </c>
      <c r="O1687" s="1">
        <v>45582.555960648147</v>
      </c>
      <c r="P1687" t="s">
        <v>138</v>
      </c>
    </row>
    <row r="1688" spans="1:16" x14ac:dyDescent="0.3">
      <c r="A1688" t="s">
        <v>25</v>
      </c>
      <c r="B1688" s="1">
        <v>45582.555960648147</v>
      </c>
      <c r="C1688" t="str">
        <f t="shared" ref="C1688:C1694" si="326">"41"</f>
        <v>41</v>
      </c>
      <c r="D1688" t="s">
        <v>120</v>
      </c>
      <c r="E1688" t="s">
        <v>116</v>
      </c>
      <c r="F1688" t="s">
        <v>117</v>
      </c>
      <c r="H1688" t="s">
        <v>515</v>
      </c>
      <c r="I1688" t="str">
        <f>"101050002022919"</f>
        <v>101050002022919</v>
      </c>
      <c r="J1688" t="str">
        <f t="shared" ref="J1688:J1694" si="327">"127436"</f>
        <v>127436</v>
      </c>
      <c r="K1688" t="s">
        <v>59</v>
      </c>
      <c r="L1688">
        <v>91</v>
      </c>
      <c r="M1688">
        <v>91</v>
      </c>
      <c r="N1688">
        <v>0</v>
      </c>
      <c r="O1688" s="1">
        <v>45582.555960648147</v>
      </c>
      <c r="P1688" t="s">
        <v>138</v>
      </c>
    </row>
    <row r="1689" spans="1:16" x14ac:dyDescent="0.3">
      <c r="A1689" t="s">
        <v>25</v>
      </c>
      <c r="B1689" s="1">
        <v>45582.555960648147</v>
      </c>
      <c r="C1689" t="str">
        <f t="shared" si="326"/>
        <v>41</v>
      </c>
      <c r="D1689" t="s">
        <v>120</v>
      </c>
      <c r="E1689" t="s">
        <v>116</v>
      </c>
      <c r="F1689" t="s">
        <v>117</v>
      </c>
      <c r="H1689" t="s">
        <v>515</v>
      </c>
      <c r="I1689" t="str">
        <f>"101050002022918"</f>
        <v>101050002022918</v>
      </c>
      <c r="J1689" t="str">
        <f t="shared" si="327"/>
        <v>127436</v>
      </c>
      <c r="K1689" t="s">
        <v>59</v>
      </c>
      <c r="L1689">
        <v>91</v>
      </c>
      <c r="M1689">
        <v>91</v>
      </c>
      <c r="N1689">
        <v>0</v>
      </c>
      <c r="O1689" s="1">
        <v>45582.555960648147</v>
      </c>
      <c r="P1689" t="s">
        <v>138</v>
      </c>
    </row>
    <row r="1690" spans="1:16" x14ac:dyDescent="0.3">
      <c r="A1690" t="s">
        <v>25</v>
      </c>
      <c r="B1690" s="1">
        <v>45582.555960648147</v>
      </c>
      <c r="C1690" t="str">
        <f t="shared" si="326"/>
        <v>41</v>
      </c>
      <c r="D1690" t="s">
        <v>120</v>
      </c>
      <c r="E1690" t="s">
        <v>116</v>
      </c>
      <c r="F1690" t="s">
        <v>117</v>
      </c>
      <c r="H1690" t="s">
        <v>515</v>
      </c>
      <c r="I1690" t="str">
        <f>"101050002022916"</f>
        <v>101050002022916</v>
      </c>
      <c r="J1690" t="str">
        <f t="shared" si="327"/>
        <v>127436</v>
      </c>
      <c r="K1690" t="s">
        <v>59</v>
      </c>
      <c r="L1690">
        <v>91</v>
      </c>
      <c r="M1690">
        <v>91</v>
      </c>
      <c r="N1690">
        <v>0</v>
      </c>
      <c r="O1690" s="1">
        <v>45582.555960648147</v>
      </c>
      <c r="P1690" t="s">
        <v>138</v>
      </c>
    </row>
    <row r="1691" spans="1:16" x14ac:dyDescent="0.3">
      <c r="A1691" t="s">
        <v>25</v>
      </c>
      <c r="B1691" s="1">
        <v>45582.555949074071</v>
      </c>
      <c r="C1691" t="str">
        <f t="shared" si="326"/>
        <v>41</v>
      </c>
      <c r="D1691" t="s">
        <v>120</v>
      </c>
      <c r="E1691" t="s">
        <v>116</v>
      </c>
      <c r="F1691" t="s">
        <v>117</v>
      </c>
      <c r="H1691" t="s">
        <v>515</v>
      </c>
      <c r="I1691" t="str">
        <f>"101050002023526"</f>
        <v>101050002023526</v>
      </c>
      <c r="J1691" t="str">
        <f t="shared" si="327"/>
        <v>127436</v>
      </c>
      <c r="K1691" t="s">
        <v>59</v>
      </c>
      <c r="L1691">
        <v>91</v>
      </c>
      <c r="M1691">
        <v>91</v>
      </c>
      <c r="N1691">
        <v>0</v>
      </c>
      <c r="O1691" s="1">
        <v>45582.555949074071</v>
      </c>
      <c r="P1691" t="s">
        <v>138</v>
      </c>
    </row>
    <row r="1692" spans="1:16" x14ac:dyDescent="0.3">
      <c r="A1692" t="s">
        <v>25</v>
      </c>
      <c r="B1692" s="1">
        <v>45582.555949074071</v>
      </c>
      <c r="C1692" t="str">
        <f t="shared" si="326"/>
        <v>41</v>
      </c>
      <c r="D1692" t="s">
        <v>120</v>
      </c>
      <c r="E1692" t="s">
        <v>116</v>
      </c>
      <c r="F1692" t="s">
        <v>117</v>
      </c>
      <c r="H1692" t="s">
        <v>515</v>
      </c>
      <c r="I1692" t="str">
        <f>"101050002023528"</f>
        <v>101050002023528</v>
      </c>
      <c r="J1692" t="str">
        <f t="shared" si="327"/>
        <v>127436</v>
      </c>
      <c r="K1692" t="s">
        <v>59</v>
      </c>
      <c r="L1692">
        <v>91</v>
      </c>
      <c r="M1692">
        <v>91</v>
      </c>
      <c r="N1692">
        <v>0</v>
      </c>
      <c r="O1692" s="1">
        <v>45582.555949074071</v>
      </c>
      <c r="P1692" t="s">
        <v>138</v>
      </c>
    </row>
    <row r="1693" spans="1:16" x14ac:dyDescent="0.3">
      <c r="A1693" t="s">
        <v>25</v>
      </c>
      <c r="B1693" s="1">
        <v>45582.555949074071</v>
      </c>
      <c r="C1693" t="str">
        <f t="shared" si="326"/>
        <v>41</v>
      </c>
      <c r="D1693" t="s">
        <v>120</v>
      </c>
      <c r="E1693" t="s">
        <v>116</v>
      </c>
      <c r="F1693" t="s">
        <v>117</v>
      </c>
      <c r="H1693" t="s">
        <v>515</v>
      </c>
      <c r="I1693" t="str">
        <f>"101050002022917"</f>
        <v>101050002022917</v>
      </c>
      <c r="J1693" t="str">
        <f t="shared" si="327"/>
        <v>127436</v>
      </c>
      <c r="K1693" t="s">
        <v>59</v>
      </c>
      <c r="L1693">
        <v>91</v>
      </c>
      <c r="M1693">
        <v>91</v>
      </c>
      <c r="N1693">
        <v>0</v>
      </c>
      <c r="O1693" s="1">
        <v>45582.555949074071</v>
      </c>
      <c r="P1693" t="s">
        <v>138</v>
      </c>
    </row>
    <row r="1694" spans="1:16" x14ac:dyDescent="0.3">
      <c r="A1694" t="s">
        <v>25</v>
      </c>
      <c r="B1694" s="1">
        <v>45582.555949074071</v>
      </c>
      <c r="C1694" t="str">
        <f t="shared" si="326"/>
        <v>41</v>
      </c>
      <c r="D1694" t="s">
        <v>120</v>
      </c>
      <c r="E1694" t="s">
        <v>116</v>
      </c>
      <c r="F1694" t="s">
        <v>117</v>
      </c>
      <c r="H1694" t="s">
        <v>515</v>
      </c>
      <c r="I1694" t="str">
        <f>"101050002023643"</f>
        <v>101050002023643</v>
      </c>
      <c r="J1694" t="str">
        <f t="shared" si="327"/>
        <v>127436</v>
      </c>
      <c r="K1694" t="s">
        <v>59</v>
      </c>
      <c r="L1694">
        <v>91</v>
      </c>
      <c r="M1694">
        <v>91</v>
      </c>
      <c r="N1694">
        <v>0</v>
      </c>
      <c r="O1694" s="1">
        <v>45582.555949074071</v>
      </c>
      <c r="P1694" t="s">
        <v>138</v>
      </c>
    </row>
    <row r="1695" spans="1:16" x14ac:dyDescent="0.3">
      <c r="A1695" t="s">
        <v>25</v>
      </c>
      <c r="B1695" s="1">
        <v>45582.555069444446</v>
      </c>
      <c r="C1695" t="str">
        <f>"38"</f>
        <v>38</v>
      </c>
      <c r="D1695" t="s">
        <v>115</v>
      </c>
      <c r="E1695" t="s">
        <v>116</v>
      </c>
      <c r="F1695" t="s">
        <v>117</v>
      </c>
      <c r="H1695" t="s">
        <v>516</v>
      </c>
      <c r="L1695">
        <v>0</v>
      </c>
      <c r="M1695">
        <v>0</v>
      </c>
      <c r="N1695">
        <v>0</v>
      </c>
      <c r="O1695" s="1">
        <v>45582.555069444446</v>
      </c>
      <c r="P1695" t="s">
        <v>122</v>
      </c>
    </row>
    <row r="1696" spans="1:16" x14ac:dyDescent="0.3">
      <c r="A1696" t="s">
        <v>25</v>
      </c>
      <c r="B1696" s="1">
        <v>45582.554976851854</v>
      </c>
      <c r="C1696" t="str">
        <f>"38"</f>
        <v>38</v>
      </c>
      <c r="D1696" t="s">
        <v>115</v>
      </c>
      <c r="E1696" t="s">
        <v>116</v>
      </c>
      <c r="F1696" t="s">
        <v>117</v>
      </c>
      <c r="H1696" t="s">
        <v>517</v>
      </c>
      <c r="L1696">
        <v>0</v>
      </c>
      <c r="M1696">
        <v>0</v>
      </c>
      <c r="N1696">
        <v>0</v>
      </c>
      <c r="O1696" s="1">
        <v>45582.554976851854</v>
      </c>
      <c r="P1696" t="s">
        <v>125</v>
      </c>
    </row>
    <row r="1697" spans="1:16" x14ac:dyDescent="0.3">
      <c r="A1697" t="s">
        <v>25</v>
      </c>
      <c r="B1697" s="1">
        <v>45582.554976851854</v>
      </c>
      <c r="C1697" t="str">
        <f t="shared" ref="C1697:C1703" si="328">"41"</f>
        <v>41</v>
      </c>
      <c r="D1697" t="s">
        <v>120</v>
      </c>
      <c r="E1697" t="s">
        <v>116</v>
      </c>
      <c r="F1697" t="s">
        <v>117</v>
      </c>
      <c r="H1697" t="s">
        <v>517</v>
      </c>
      <c r="I1697" t="str">
        <f>"101050002024786"</f>
        <v>101050002024786</v>
      </c>
      <c r="J1697" t="str">
        <f t="shared" ref="J1697:J1703" si="329">"515122"</f>
        <v>515122</v>
      </c>
      <c r="K1697" t="s">
        <v>4</v>
      </c>
      <c r="L1697">
        <v>49</v>
      </c>
      <c r="M1697">
        <v>49</v>
      </c>
      <c r="N1697">
        <v>0</v>
      </c>
      <c r="O1697" s="1">
        <v>45582.554976851854</v>
      </c>
      <c r="P1697" t="s">
        <v>125</v>
      </c>
    </row>
    <row r="1698" spans="1:16" x14ac:dyDescent="0.3">
      <c r="A1698" t="s">
        <v>25</v>
      </c>
      <c r="B1698" s="1">
        <v>45582.554976851854</v>
      </c>
      <c r="C1698" t="str">
        <f t="shared" si="328"/>
        <v>41</v>
      </c>
      <c r="D1698" t="s">
        <v>120</v>
      </c>
      <c r="E1698" t="s">
        <v>116</v>
      </c>
      <c r="F1698" t="s">
        <v>117</v>
      </c>
      <c r="H1698" t="s">
        <v>517</v>
      </c>
      <c r="I1698" t="str">
        <f>"101050002024787"</f>
        <v>101050002024787</v>
      </c>
      <c r="J1698" t="str">
        <f t="shared" si="329"/>
        <v>515122</v>
      </c>
      <c r="K1698" t="s">
        <v>4</v>
      </c>
      <c r="L1698">
        <v>49</v>
      </c>
      <c r="M1698">
        <v>49</v>
      </c>
      <c r="N1698">
        <v>0</v>
      </c>
      <c r="O1698" s="1">
        <v>45582.554976851854</v>
      </c>
      <c r="P1698" t="s">
        <v>125</v>
      </c>
    </row>
    <row r="1699" spans="1:16" x14ac:dyDescent="0.3">
      <c r="A1699" t="s">
        <v>25</v>
      </c>
      <c r="B1699" s="1">
        <v>45582.554976851854</v>
      </c>
      <c r="C1699" t="str">
        <f t="shared" si="328"/>
        <v>41</v>
      </c>
      <c r="D1699" t="s">
        <v>120</v>
      </c>
      <c r="E1699" t="s">
        <v>116</v>
      </c>
      <c r="F1699" t="s">
        <v>117</v>
      </c>
      <c r="H1699" t="s">
        <v>517</v>
      </c>
      <c r="I1699" t="str">
        <f>"101050002024911"</f>
        <v>101050002024911</v>
      </c>
      <c r="J1699" t="str">
        <f t="shared" si="329"/>
        <v>515122</v>
      </c>
      <c r="K1699" t="s">
        <v>4</v>
      </c>
      <c r="L1699">
        <v>49</v>
      </c>
      <c r="M1699">
        <v>49</v>
      </c>
      <c r="N1699">
        <v>0</v>
      </c>
      <c r="O1699" s="1">
        <v>45582.554976851854</v>
      </c>
      <c r="P1699" t="s">
        <v>125</v>
      </c>
    </row>
    <row r="1700" spans="1:16" x14ac:dyDescent="0.3">
      <c r="A1700" t="s">
        <v>25</v>
      </c>
      <c r="B1700" s="1">
        <v>45582.554976851854</v>
      </c>
      <c r="C1700" t="str">
        <f t="shared" si="328"/>
        <v>41</v>
      </c>
      <c r="D1700" t="s">
        <v>120</v>
      </c>
      <c r="E1700" t="s">
        <v>116</v>
      </c>
      <c r="F1700" t="s">
        <v>117</v>
      </c>
      <c r="H1700" t="s">
        <v>517</v>
      </c>
      <c r="I1700" t="str">
        <f>"101050002020342"</f>
        <v>101050002020342</v>
      </c>
      <c r="J1700" t="str">
        <f t="shared" si="329"/>
        <v>515122</v>
      </c>
      <c r="K1700" t="s">
        <v>4</v>
      </c>
      <c r="L1700">
        <v>49</v>
      </c>
      <c r="M1700">
        <v>49</v>
      </c>
      <c r="N1700">
        <v>0</v>
      </c>
      <c r="O1700" s="1">
        <v>45582.554976851854</v>
      </c>
      <c r="P1700" t="s">
        <v>125</v>
      </c>
    </row>
    <row r="1701" spans="1:16" x14ac:dyDescent="0.3">
      <c r="A1701" t="s">
        <v>25</v>
      </c>
      <c r="B1701" s="1">
        <v>45582.554976851854</v>
      </c>
      <c r="C1701" t="str">
        <f t="shared" si="328"/>
        <v>41</v>
      </c>
      <c r="D1701" t="s">
        <v>120</v>
      </c>
      <c r="E1701" t="s">
        <v>116</v>
      </c>
      <c r="F1701" t="s">
        <v>117</v>
      </c>
      <c r="H1701" t="s">
        <v>517</v>
      </c>
      <c r="I1701" t="str">
        <f>"101050002020339"</f>
        <v>101050002020339</v>
      </c>
      <c r="J1701" t="str">
        <f t="shared" si="329"/>
        <v>515122</v>
      </c>
      <c r="K1701" t="s">
        <v>4</v>
      </c>
      <c r="L1701">
        <v>49</v>
      </c>
      <c r="M1701">
        <v>49</v>
      </c>
      <c r="N1701">
        <v>0</v>
      </c>
      <c r="O1701" s="1">
        <v>45582.554976851854</v>
      </c>
      <c r="P1701" t="s">
        <v>125</v>
      </c>
    </row>
    <row r="1702" spans="1:16" x14ac:dyDescent="0.3">
      <c r="A1702" t="s">
        <v>25</v>
      </c>
      <c r="B1702" s="1">
        <v>45582.554976851854</v>
      </c>
      <c r="C1702" t="str">
        <f t="shared" si="328"/>
        <v>41</v>
      </c>
      <c r="D1702" t="s">
        <v>120</v>
      </c>
      <c r="E1702" t="s">
        <v>116</v>
      </c>
      <c r="F1702" t="s">
        <v>117</v>
      </c>
      <c r="H1702" t="s">
        <v>517</v>
      </c>
      <c r="I1702" t="str">
        <f>"101050002020283"</f>
        <v>101050002020283</v>
      </c>
      <c r="J1702" t="str">
        <f t="shared" si="329"/>
        <v>515122</v>
      </c>
      <c r="K1702" t="s">
        <v>4</v>
      </c>
      <c r="L1702">
        <v>49</v>
      </c>
      <c r="M1702">
        <v>49</v>
      </c>
      <c r="N1702">
        <v>0</v>
      </c>
      <c r="O1702" s="1">
        <v>45582.554976851854</v>
      </c>
      <c r="P1702" t="s">
        <v>125</v>
      </c>
    </row>
    <row r="1703" spans="1:16" x14ac:dyDescent="0.3">
      <c r="A1703" t="s">
        <v>25</v>
      </c>
      <c r="B1703" s="1">
        <v>45582.554965277777</v>
      </c>
      <c r="C1703" t="str">
        <f t="shared" si="328"/>
        <v>41</v>
      </c>
      <c r="D1703" t="s">
        <v>120</v>
      </c>
      <c r="E1703" t="s">
        <v>116</v>
      </c>
      <c r="F1703" t="s">
        <v>117</v>
      </c>
      <c r="H1703" t="s">
        <v>517</v>
      </c>
      <c r="I1703" t="str">
        <f>"101050002020340"</f>
        <v>101050002020340</v>
      </c>
      <c r="J1703" t="str">
        <f t="shared" si="329"/>
        <v>515122</v>
      </c>
      <c r="K1703" t="s">
        <v>4</v>
      </c>
      <c r="L1703">
        <v>49</v>
      </c>
      <c r="M1703">
        <v>49</v>
      </c>
      <c r="N1703">
        <v>0</v>
      </c>
      <c r="O1703" s="1">
        <v>45582.554965277777</v>
      </c>
      <c r="P1703" t="s">
        <v>125</v>
      </c>
    </row>
    <row r="1704" spans="1:16" x14ac:dyDescent="0.3">
      <c r="A1704" t="s">
        <v>25</v>
      </c>
      <c r="B1704" s="1">
        <v>45582.554375</v>
      </c>
      <c r="C1704" t="str">
        <f>"38"</f>
        <v>38</v>
      </c>
      <c r="D1704" t="s">
        <v>115</v>
      </c>
      <c r="E1704" t="s">
        <v>116</v>
      </c>
      <c r="F1704" t="s">
        <v>117</v>
      </c>
      <c r="H1704" t="s">
        <v>518</v>
      </c>
      <c r="L1704">
        <v>0</v>
      </c>
      <c r="M1704">
        <v>0</v>
      </c>
      <c r="N1704">
        <v>0</v>
      </c>
      <c r="O1704" s="1">
        <v>45582.554375</v>
      </c>
      <c r="P1704" t="s">
        <v>122</v>
      </c>
    </row>
    <row r="1705" spans="1:16" x14ac:dyDescent="0.3">
      <c r="A1705" t="s">
        <v>25</v>
      </c>
      <c r="B1705" s="1">
        <v>45582.554375</v>
      </c>
      <c r="C1705" t="str">
        <f>"41"</f>
        <v>41</v>
      </c>
      <c r="D1705" t="s">
        <v>120</v>
      </c>
      <c r="E1705" t="s">
        <v>116</v>
      </c>
      <c r="F1705" t="s">
        <v>117</v>
      </c>
      <c r="H1705" t="s">
        <v>518</v>
      </c>
      <c r="I1705" t="str">
        <f>"101050002021411"</f>
        <v>101050002021411</v>
      </c>
      <c r="J1705" t="str">
        <f>"127802"</f>
        <v>127802</v>
      </c>
      <c r="K1705" t="s">
        <v>6</v>
      </c>
      <c r="L1705">
        <v>91</v>
      </c>
      <c r="M1705">
        <v>91</v>
      </c>
      <c r="N1705">
        <v>0</v>
      </c>
      <c r="O1705" s="1">
        <v>45582.554375</v>
      </c>
      <c r="P1705" t="s">
        <v>122</v>
      </c>
    </row>
    <row r="1706" spans="1:16" x14ac:dyDescent="0.3">
      <c r="A1706" t="s">
        <v>25</v>
      </c>
      <c r="B1706" s="1">
        <v>45582.554201388892</v>
      </c>
      <c r="C1706" t="str">
        <f>"38"</f>
        <v>38</v>
      </c>
      <c r="D1706" t="s">
        <v>115</v>
      </c>
      <c r="E1706" t="s">
        <v>116</v>
      </c>
      <c r="F1706" t="s">
        <v>117</v>
      </c>
      <c r="H1706" t="s">
        <v>519</v>
      </c>
      <c r="L1706">
        <v>0</v>
      </c>
      <c r="M1706">
        <v>0</v>
      </c>
      <c r="N1706">
        <v>0</v>
      </c>
      <c r="O1706" s="1">
        <v>45582.554201388892</v>
      </c>
      <c r="P1706" t="s">
        <v>122</v>
      </c>
    </row>
    <row r="1707" spans="1:16" x14ac:dyDescent="0.3">
      <c r="A1707" t="s">
        <v>25</v>
      </c>
      <c r="B1707" s="1">
        <v>45582.554201388892</v>
      </c>
      <c r="C1707" t="str">
        <f t="shared" ref="C1707:C1713" si="330">"41"</f>
        <v>41</v>
      </c>
      <c r="D1707" t="s">
        <v>120</v>
      </c>
      <c r="E1707" t="s">
        <v>116</v>
      </c>
      <c r="F1707" t="s">
        <v>117</v>
      </c>
      <c r="H1707" t="s">
        <v>519</v>
      </c>
      <c r="I1707" t="str">
        <f>"101050002019132"</f>
        <v>101050002019132</v>
      </c>
      <c r="J1707" t="str">
        <f t="shared" ref="J1707:J1713" si="331">"127802"</f>
        <v>127802</v>
      </c>
      <c r="K1707" t="s">
        <v>6</v>
      </c>
      <c r="L1707">
        <v>91</v>
      </c>
      <c r="M1707">
        <v>91</v>
      </c>
      <c r="N1707">
        <v>0</v>
      </c>
      <c r="O1707" s="1">
        <v>45582.554201388892</v>
      </c>
      <c r="P1707" t="s">
        <v>122</v>
      </c>
    </row>
    <row r="1708" spans="1:16" x14ac:dyDescent="0.3">
      <c r="A1708" t="s">
        <v>25</v>
      </c>
      <c r="B1708" s="1">
        <v>45582.554189814815</v>
      </c>
      <c r="C1708" t="str">
        <f t="shared" si="330"/>
        <v>41</v>
      </c>
      <c r="D1708" t="s">
        <v>120</v>
      </c>
      <c r="E1708" t="s">
        <v>116</v>
      </c>
      <c r="F1708" t="s">
        <v>117</v>
      </c>
      <c r="H1708" t="s">
        <v>519</v>
      </c>
      <c r="I1708" t="str">
        <f>"101050002018415"</f>
        <v>101050002018415</v>
      </c>
      <c r="J1708" t="str">
        <f t="shared" si="331"/>
        <v>127802</v>
      </c>
      <c r="K1708" t="s">
        <v>6</v>
      </c>
      <c r="L1708">
        <v>91</v>
      </c>
      <c r="M1708">
        <v>91</v>
      </c>
      <c r="N1708">
        <v>0</v>
      </c>
      <c r="O1708" s="1">
        <v>45582.554189814815</v>
      </c>
      <c r="P1708" t="s">
        <v>122</v>
      </c>
    </row>
    <row r="1709" spans="1:16" x14ac:dyDescent="0.3">
      <c r="A1709" t="s">
        <v>25</v>
      </c>
      <c r="B1709" s="1">
        <v>45582.554189814815</v>
      </c>
      <c r="C1709" t="str">
        <f t="shared" si="330"/>
        <v>41</v>
      </c>
      <c r="D1709" t="s">
        <v>120</v>
      </c>
      <c r="E1709" t="s">
        <v>116</v>
      </c>
      <c r="F1709" t="s">
        <v>117</v>
      </c>
      <c r="H1709" t="s">
        <v>519</v>
      </c>
      <c r="I1709" t="str">
        <f>"101050002020373"</f>
        <v>101050002020373</v>
      </c>
      <c r="J1709" t="str">
        <f t="shared" si="331"/>
        <v>127802</v>
      </c>
      <c r="K1709" t="s">
        <v>6</v>
      </c>
      <c r="L1709">
        <v>91</v>
      </c>
      <c r="M1709">
        <v>91</v>
      </c>
      <c r="N1709">
        <v>0</v>
      </c>
      <c r="O1709" s="1">
        <v>45582.554189814815</v>
      </c>
      <c r="P1709" t="s">
        <v>122</v>
      </c>
    </row>
    <row r="1710" spans="1:16" x14ac:dyDescent="0.3">
      <c r="A1710" t="s">
        <v>25</v>
      </c>
      <c r="B1710" s="1">
        <v>45582.554189814815</v>
      </c>
      <c r="C1710" t="str">
        <f t="shared" si="330"/>
        <v>41</v>
      </c>
      <c r="D1710" t="s">
        <v>120</v>
      </c>
      <c r="E1710" t="s">
        <v>116</v>
      </c>
      <c r="F1710" t="s">
        <v>117</v>
      </c>
      <c r="H1710" t="s">
        <v>519</v>
      </c>
      <c r="I1710" t="str">
        <f>"101050002020125"</f>
        <v>101050002020125</v>
      </c>
      <c r="J1710" t="str">
        <f t="shared" si="331"/>
        <v>127802</v>
      </c>
      <c r="K1710" t="s">
        <v>6</v>
      </c>
      <c r="L1710">
        <v>91</v>
      </c>
      <c r="M1710">
        <v>91</v>
      </c>
      <c r="N1710">
        <v>0</v>
      </c>
      <c r="O1710" s="1">
        <v>45582.554189814815</v>
      </c>
      <c r="P1710" t="s">
        <v>122</v>
      </c>
    </row>
    <row r="1711" spans="1:16" x14ac:dyDescent="0.3">
      <c r="A1711" t="s">
        <v>25</v>
      </c>
      <c r="B1711" s="1">
        <v>45582.554189814815</v>
      </c>
      <c r="C1711" t="str">
        <f t="shared" si="330"/>
        <v>41</v>
      </c>
      <c r="D1711" t="s">
        <v>120</v>
      </c>
      <c r="E1711" t="s">
        <v>116</v>
      </c>
      <c r="F1711" t="s">
        <v>117</v>
      </c>
      <c r="H1711" t="s">
        <v>519</v>
      </c>
      <c r="I1711" t="str">
        <f>"101050002019401"</f>
        <v>101050002019401</v>
      </c>
      <c r="J1711" t="str">
        <f t="shared" si="331"/>
        <v>127802</v>
      </c>
      <c r="K1711" t="s">
        <v>6</v>
      </c>
      <c r="L1711">
        <v>91</v>
      </c>
      <c r="M1711">
        <v>91</v>
      </c>
      <c r="N1711">
        <v>0</v>
      </c>
      <c r="O1711" s="1">
        <v>45582.554189814815</v>
      </c>
      <c r="P1711" t="s">
        <v>122</v>
      </c>
    </row>
    <row r="1712" spans="1:16" x14ac:dyDescent="0.3">
      <c r="A1712" t="s">
        <v>25</v>
      </c>
      <c r="B1712" s="1">
        <v>45582.554189814815</v>
      </c>
      <c r="C1712" t="str">
        <f t="shared" si="330"/>
        <v>41</v>
      </c>
      <c r="D1712" t="s">
        <v>120</v>
      </c>
      <c r="E1712" t="s">
        <v>116</v>
      </c>
      <c r="F1712" t="s">
        <v>117</v>
      </c>
      <c r="H1712" t="s">
        <v>519</v>
      </c>
      <c r="I1712" t="str">
        <f>"101050002019397"</f>
        <v>101050002019397</v>
      </c>
      <c r="J1712" t="str">
        <f t="shared" si="331"/>
        <v>127802</v>
      </c>
      <c r="K1712" t="s">
        <v>6</v>
      </c>
      <c r="L1712">
        <v>91</v>
      </c>
      <c r="M1712">
        <v>91</v>
      </c>
      <c r="N1712">
        <v>0</v>
      </c>
      <c r="O1712" s="1">
        <v>45582.554189814815</v>
      </c>
      <c r="P1712" t="s">
        <v>122</v>
      </c>
    </row>
    <row r="1713" spans="1:16" x14ac:dyDescent="0.3">
      <c r="A1713" t="s">
        <v>25</v>
      </c>
      <c r="B1713" s="1">
        <v>45582.554189814815</v>
      </c>
      <c r="C1713" t="str">
        <f t="shared" si="330"/>
        <v>41</v>
      </c>
      <c r="D1713" t="s">
        <v>120</v>
      </c>
      <c r="E1713" t="s">
        <v>116</v>
      </c>
      <c r="F1713" t="s">
        <v>117</v>
      </c>
      <c r="H1713" t="s">
        <v>519</v>
      </c>
      <c r="I1713" t="str">
        <f>"101050002019373"</f>
        <v>101050002019373</v>
      </c>
      <c r="J1713" t="str">
        <f t="shared" si="331"/>
        <v>127802</v>
      </c>
      <c r="K1713" t="s">
        <v>6</v>
      </c>
      <c r="L1713">
        <v>91</v>
      </c>
      <c r="M1713">
        <v>91</v>
      </c>
      <c r="N1713">
        <v>0</v>
      </c>
      <c r="O1713" s="1">
        <v>45582.554189814815</v>
      </c>
      <c r="P1713" t="s">
        <v>122</v>
      </c>
    </row>
    <row r="1714" spans="1:16" x14ac:dyDescent="0.3">
      <c r="A1714" t="s">
        <v>25</v>
      </c>
      <c r="B1714" s="1">
        <v>45582.553888888891</v>
      </c>
      <c r="C1714" t="str">
        <f>"38"</f>
        <v>38</v>
      </c>
      <c r="D1714" t="s">
        <v>115</v>
      </c>
      <c r="E1714" t="s">
        <v>116</v>
      </c>
      <c r="F1714" t="s">
        <v>117</v>
      </c>
      <c r="H1714" t="s">
        <v>520</v>
      </c>
      <c r="L1714">
        <v>0</v>
      </c>
      <c r="M1714">
        <v>0</v>
      </c>
      <c r="N1714">
        <v>0</v>
      </c>
      <c r="O1714" s="1">
        <v>45582.553888888891</v>
      </c>
      <c r="P1714" t="s">
        <v>119</v>
      </c>
    </row>
    <row r="1715" spans="1:16" x14ac:dyDescent="0.3">
      <c r="A1715" t="s">
        <v>25</v>
      </c>
      <c r="B1715" s="1">
        <v>45582.553888888891</v>
      </c>
      <c r="C1715" t="str">
        <f t="shared" ref="C1715:C1721" si="332">"41"</f>
        <v>41</v>
      </c>
      <c r="D1715" t="s">
        <v>120</v>
      </c>
      <c r="E1715" t="s">
        <v>116</v>
      </c>
      <c r="F1715" t="s">
        <v>117</v>
      </c>
      <c r="H1715" t="s">
        <v>520</v>
      </c>
      <c r="I1715" t="str">
        <f>"101050002024202"</f>
        <v>101050002024202</v>
      </c>
      <c r="J1715" t="str">
        <f t="shared" ref="J1715:J1721" si="333">"515120"</f>
        <v>515120</v>
      </c>
      <c r="K1715" t="s">
        <v>2</v>
      </c>
      <c r="L1715">
        <v>49</v>
      </c>
      <c r="M1715">
        <v>49</v>
      </c>
      <c r="N1715">
        <v>0</v>
      </c>
      <c r="O1715" s="1">
        <v>45582.553888888891</v>
      </c>
      <c r="P1715" t="s">
        <v>119</v>
      </c>
    </row>
    <row r="1716" spans="1:16" x14ac:dyDescent="0.3">
      <c r="A1716" t="s">
        <v>25</v>
      </c>
      <c r="B1716" s="1">
        <v>45582.553888888891</v>
      </c>
      <c r="C1716" t="str">
        <f t="shared" si="332"/>
        <v>41</v>
      </c>
      <c r="D1716" t="s">
        <v>120</v>
      </c>
      <c r="E1716" t="s">
        <v>116</v>
      </c>
      <c r="F1716" t="s">
        <v>117</v>
      </c>
      <c r="H1716" t="s">
        <v>520</v>
      </c>
      <c r="I1716" t="str">
        <f>"101050002024021"</f>
        <v>101050002024021</v>
      </c>
      <c r="J1716" t="str">
        <f t="shared" si="333"/>
        <v>515120</v>
      </c>
      <c r="K1716" t="s">
        <v>2</v>
      </c>
      <c r="L1716">
        <v>49</v>
      </c>
      <c r="M1716">
        <v>49</v>
      </c>
      <c r="N1716">
        <v>0</v>
      </c>
      <c r="O1716" s="1">
        <v>45582.553888888891</v>
      </c>
      <c r="P1716" t="s">
        <v>119</v>
      </c>
    </row>
    <row r="1717" spans="1:16" x14ac:dyDescent="0.3">
      <c r="A1717" t="s">
        <v>25</v>
      </c>
      <c r="B1717" s="1">
        <v>45582.553877314815</v>
      </c>
      <c r="C1717" t="str">
        <f t="shared" si="332"/>
        <v>41</v>
      </c>
      <c r="D1717" t="s">
        <v>120</v>
      </c>
      <c r="E1717" t="s">
        <v>116</v>
      </c>
      <c r="F1717" t="s">
        <v>117</v>
      </c>
      <c r="H1717" t="s">
        <v>520</v>
      </c>
      <c r="I1717" t="str">
        <f>"101050002023929"</f>
        <v>101050002023929</v>
      </c>
      <c r="J1717" t="str">
        <f t="shared" si="333"/>
        <v>515120</v>
      </c>
      <c r="K1717" t="s">
        <v>2</v>
      </c>
      <c r="L1717">
        <v>49</v>
      </c>
      <c r="M1717">
        <v>49</v>
      </c>
      <c r="N1717">
        <v>0</v>
      </c>
      <c r="O1717" s="1">
        <v>45582.553877314815</v>
      </c>
      <c r="P1717" t="s">
        <v>119</v>
      </c>
    </row>
    <row r="1718" spans="1:16" x14ac:dyDescent="0.3">
      <c r="A1718" t="s">
        <v>25</v>
      </c>
      <c r="B1718" s="1">
        <v>45582.553877314815</v>
      </c>
      <c r="C1718" t="str">
        <f t="shared" si="332"/>
        <v>41</v>
      </c>
      <c r="D1718" t="s">
        <v>120</v>
      </c>
      <c r="E1718" t="s">
        <v>116</v>
      </c>
      <c r="F1718" t="s">
        <v>117</v>
      </c>
      <c r="H1718" t="s">
        <v>520</v>
      </c>
      <c r="I1718" t="str">
        <f>"101050002024203"</f>
        <v>101050002024203</v>
      </c>
      <c r="J1718" t="str">
        <f t="shared" si="333"/>
        <v>515120</v>
      </c>
      <c r="K1718" t="s">
        <v>2</v>
      </c>
      <c r="L1718">
        <v>49</v>
      </c>
      <c r="M1718">
        <v>49</v>
      </c>
      <c r="N1718">
        <v>0</v>
      </c>
      <c r="O1718" s="1">
        <v>45582.553877314815</v>
      </c>
      <c r="P1718" t="s">
        <v>119</v>
      </c>
    </row>
    <row r="1719" spans="1:16" x14ac:dyDescent="0.3">
      <c r="A1719" t="s">
        <v>25</v>
      </c>
      <c r="B1719" s="1">
        <v>45582.553877314815</v>
      </c>
      <c r="C1719" t="str">
        <f t="shared" si="332"/>
        <v>41</v>
      </c>
      <c r="D1719" t="s">
        <v>120</v>
      </c>
      <c r="E1719" t="s">
        <v>116</v>
      </c>
      <c r="F1719" t="s">
        <v>117</v>
      </c>
      <c r="H1719" t="s">
        <v>520</v>
      </c>
      <c r="I1719" t="str">
        <f>"101050002023921"</f>
        <v>101050002023921</v>
      </c>
      <c r="J1719" t="str">
        <f t="shared" si="333"/>
        <v>515120</v>
      </c>
      <c r="K1719" t="s">
        <v>2</v>
      </c>
      <c r="L1719">
        <v>49</v>
      </c>
      <c r="M1719">
        <v>49</v>
      </c>
      <c r="N1719">
        <v>0</v>
      </c>
      <c r="O1719" s="1">
        <v>45582.553877314815</v>
      </c>
      <c r="P1719" t="s">
        <v>119</v>
      </c>
    </row>
    <row r="1720" spans="1:16" x14ac:dyDescent="0.3">
      <c r="A1720" t="s">
        <v>25</v>
      </c>
      <c r="B1720" s="1">
        <v>45582.553877314815</v>
      </c>
      <c r="C1720" t="str">
        <f t="shared" si="332"/>
        <v>41</v>
      </c>
      <c r="D1720" t="s">
        <v>120</v>
      </c>
      <c r="E1720" t="s">
        <v>116</v>
      </c>
      <c r="F1720" t="s">
        <v>117</v>
      </c>
      <c r="H1720" t="s">
        <v>520</v>
      </c>
      <c r="I1720" t="str">
        <f>"101050002023920"</f>
        <v>101050002023920</v>
      </c>
      <c r="J1720" t="str">
        <f t="shared" si="333"/>
        <v>515120</v>
      </c>
      <c r="K1720" t="s">
        <v>2</v>
      </c>
      <c r="L1720">
        <v>49</v>
      </c>
      <c r="M1720">
        <v>49</v>
      </c>
      <c r="N1720">
        <v>0</v>
      </c>
      <c r="O1720" s="1">
        <v>45582.553877314815</v>
      </c>
      <c r="P1720" t="s">
        <v>119</v>
      </c>
    </row>
    <row r="1721" spans="1:16" x14ac:dyDescent="0.3">
      <c r="A1721" t="s">
        <v>25</v>
      </c>
      <c r="B1721" s="1">
        <v>45582.553877314815</v>
      </c>
      <c r="C1721" t="str">
        <f t="shared" si="332"/>
        <v>41</v>
      </c>
      <c r="D1721" t="s">
        <v>120</v>
      </c>
      <c r="E1721" t="s">
        <v>116</v>
      </c>
      <c r="F1721" t="s">
        <v>117</v>
      </c>
      <c r="H1721" t="s">
        <v>520</v>
      </c>
      <c r="I1721" t="str">
        <f>"101050002024204"</f>
        <v>101050002024204</v>
      </c>
      <c r="J1721" t="str">
        <f t="shared" si="333"/>
        <v>515120</v>
      </c>
      <c r="K1721" t="s">
        <v>2</v>
      </c>
      <c r="L1721">
        <v>49</v>
      </c>
      <c r="M1721">
        <v>49</v>
      </c>
      <c r="N1721">
        <v>0</v>
      </c>
      <c r="O1721" s="1">
        <v>45582.553877314815</v>
      </c>
      <c r="P1721" t="s">
        <v>119</v>
      </c>
    </row>
    <row r="1722" spans="1:16" x14ac:dyDescent="0.3">
      <c r="A1722" t="s">
        <v>25</v>
      </c>
      <c r="B1722" s="1">
        <v>45582.552847222221</v>
      </c>
      <c r="C1722" t="str">
        <f>"38"</f>
        <v>38</v>
      </c>
      <c r="D1722" t="s">
        <v>115</v>
      </c>
      <c r="E1722" t="s">
        <v>116</v>
      </c>
      <c r="F1722" t="s">
        <v>117</v>
      </c>
      <c r="H1722" t="s">
        <v>521</v>
      </c>
      <c r="L1722">
        <v>0</v>
      </c>
      <c r="M1722">
        <v>0</v>
      </c>
      <c r="N1722">
        <v>0</v>
      </c>
      <c r="O1722" s="1">
        <v>45582.552847222221</v>
      </c>
      <c r="P1722" t="s">
        <v>125</v>
      </c>
    </row>
    <row r="1723" spans="1:16" x14ac:dyDescent="0.3">
      <c r="A1723" t="s">
        <v>25</v>
      </c>
      <c r="B1723" s="1">
        <v>45582.552847222221</v>
      </c>
      <c r="C1723" t="str">
        <f t="shared" ref="C1723:C1729" si="334">"41"</f>
        <v>41</v>
      </c>
      <c r="D1723" t="s">
        <v>120</v>
      </c>
      <c r="E1723" t="s">
        <v>116</v>
      </c>
      <c r="F1723" t="s">
        <v>117</v>
      </c>
      <c r="H1723" t="s">
        <v>521</v>
      </c>
      <c r="I1723" t="str">
        <f>"101050002021689"</f>
        <v>101050002021689</v>
      </c>
      <c r="J1723" t="str">
        <f t="shared" ref="J1723:J1729" si="335">"515120"</f>
        <v>515120</v>
      </c>
      <c r="K1723" t="s">
        <v>2</v>
      </c>
      <c r="L1723">
        <v>49</v>
      </c>
      <c r="M1723">
        <v>49</v>
      </c>
      <c r="N1723">
        <v>0</v>
      </c>
      <c r="O1723" s="1">
        <v>45582.552847222221</v>
      </c>
      <c r="P1723" t="s">
        <v>125</v>
      </c>
    </row>
    <row r="1724" spans="1:16" x14ac:dyDescent="0.3">
      <c r="A1724" t="s">
        <v>25</v>
      </c>
      <c r="B1724" s="1">
        <v>45582.552847222221</v>
      </c>
      <c r="C1724" t="str">
        <f t="shared" si="334"/>
        <v>41</v>
      </c>
      <c r="D1724" t="s">
        <v>120</v>
      </c>
      <c r="E1724" t="s">
        <v>116</v>
      </c>
      <c r="F1724" t="s">
        <v>117</v>
      </c>
      <c r="H1724" t="s">
        <v>521</v>
      </c>
      <c r="I1724" t="str">
        <f>"101050002025208"</f>
        <v>101050002025208</v>
      </c>
      <c r="J1724" t="str">
        <f t="shared" si="335"/>
        <v>515120</v>
      </c>
      <c r="K1724" t="s">
        <v>2</v>
      </c>
      <c r="L1724">
        <v>49</v>
      </c>
      <c r="M1724">
        <v>49</v>
      </c>
      <c r="N1724">
        <v>0</v>
      </c>
      <c r="O1724" s="1">
        <v>45582.552847222221</v>
      </c>
      <c r="P1724" t="s">
        <v>125</v>
      </c>
    </row>
    <row r="1725" spans="1:16" x14ac:dyDescent="0.3">
      <c r="A1725" t="s">
        <v>25</v>
      </c>
      <c r="B1725" s="1">
        <v>45582.552847222221</v>
      </c>
      <c r="C1725" t="str">
        <f t="shared" si="334"/>
        <v>41</v>
      </c>
      <c r="D1725" t="s">
        <v>120</v>
      </c>
      <c r="E1725" t="s">
        <v>116</v>
      </c>
      <c r="F1725" t="s">
        <v>117</v>
      </c>
      <c r="H1725" t="s">
        <v>521</v>
      </c>
      <c r="I1725" t="str">
        <f>"101050002025135"</f>
        <v>101050002025135</v>
      </c>
      <c r="J1725" t="str">
        <f t="shared" si="335"/>
        <v>515120</v>
      </c>
      <c r="K1725" t="s">
        <v>2</v>
      </c>
      <c r="L1725">
        <v>49</v>
      </c>
      <c r="M1725">
        <v>49</v>
      </c>
      <c r="N1725">
        <v>0</v>
      </c>
      <c r="O1725" s="1">
        <v>45582.552847222221</v>
      </c>
      <c r="P1725" t="s">
        <v>125</v>
      </c>
    </row>
    <row r="1726" spans="1:16" x14ac:dyDescent="0.3">
      <c r="A1726" t="s">
        <v>25</v>
      </c>
      <c r="B1726" s="1">
        <v>45582.552847222221</v>
      </c>
      <c r="C1726" t="str">
        <f t="shared" si="334"/>
        <v>41</v>
      </c>
      <c r="D1726" t="s">
        <v>120</v>
      </c>
      <c r="E1726" t="s">
        <v>116</v>
      </c>
      <c r="F1726" t="s">
        <v>117</v>
      </c>
      <c r="H1726" t="s">
        <v>521</v>
      </c>
      <c r="I1726" t="str">
        <f>"101050002021900"</f>
        <v>101050002021900</v>
      </c>
      <c r="J1726" t="str">
        <f t="shared" si="335"/>
        <v>515120</v>
      </c>
      <c r="K1726" t="s">
        <v>2</v>
      </c>
      <c r="L1726">
        <v>49</v>
      </c>
      <c r="M1726">
        <v>49</v>
      </c>
      <c r="N1726">
        <v>0</v>
      </c>
      <c r="O1726" s="1">
        <v>45582.552847222221</v>
      </c>
      <c r="P1726" t="s">
        <v>125</v>
      </c>
    </row>
    <row r="1727" spans="1:16" x14ac:dyDescent="0.3">
      <c r="A1727" t="s">
        <v>25</v>
      </c>
      <c r="B1727" s="1">
        <v>45582.552847222221</v>
      </c>
      <c r="C1727" t="str">
        <f t="shared" si="334"/>
        <v>41</v>
      </c>
      <c r="D1727" t="s">
        <v>120</v>
      </c>
      <c r="E1727" t="s">
        <v>116</v>
      </c>
      <c r="F1727" t="s">
        <v>117</v>
      </c>
      <c r="H1727" t="s">
        <v>521</v>
      </c>
      <c r="I1727" t="str">
        <f>"101050002021688"</f>
        <v>101050002021688</v>
      </c>
      <c r="J1727" t="str">
        <f t="shared" si="335"/>
        <v>515120</v>
      </c>
      <c r="K1727" t="s">
        <v>2</v>
      </c>
      <c r="L1727">
        <v>49</v>
      </c>
      <c r="M1727">
        <v>49</v>
      </c>
      <c r="N1727">
        <v>0</v>
      </c>
      <c r="O1727" s="1">
        <v>45582.552847222221</v>
      </c>
      <c r="P1727" t="s">
        <v>125</v>
      </c>
    </row>
    <row r="1728" spans="1:16" x14ac:dyDescent="0.3">
      <c r="A1728" t="s">
        <v>25</v>
      </c>
      <c r="B1728" s="1">
        <v>45582.552847222221</v>
      </c>
      <c r="C1728" t="str">
        <f t="shared" si="334"/>
        <v>41</v>
      </c>
      <c r="D1728" t="s">
        <v>120</v>
      </c>
      <c r="E1728" t="s">
        <v>116</v>
      </c>
      <c r="F1728" t="s">
        <v>117</v>
      </c>
      <c r="H1728" t="s">
        <v>521</v>
      </c>
      <c r="I1728" t="str">
        <f>"101050002020104"</f>
        <v>101050002020104</v>
      </c>
      <c r="J1728" t="str">
        <f t="shared" si="335"/>
        <v>515120</v>
      </c>
      <c r="K1728" t="s">
        <v>2</v>
      </c>
      <c r="L1728">
        <v>49</v>
      </c>
      <c r="M1728">
        <v>49</v>
      </c>
      <c r="N1728">
        <v>0</v>
      </c>
      <c r="O1728" s="1">
        <v>45582.552847222221</v>
      </c>
      <c r="P1728" t="s">
        <v>125</v>
      </c>
    </row>
    <row r="1729" spans="1:16" x14ac:dyDescent="0.3">
      <c r="A1729" t="s">
        <v>25</v>
      </c>
      <c r="B1729" s="1">
        <v>45582.552835648145</v>
      </c>
      <c r="C1729" t="str">
        <f t="shared" si="334"/>
        <v>41</v>
      </c>
      <c r="D1729" t="s">
        <v>120</v>
      </c>
      <c r="E1729" t="s">
        <v>116</v>
      </c>
      <c r="F1729" t="s">
        <v>117</v>
      </c>
      <c r="H1729" t="s">
        <v>521</v>
      </c>
      <c r="I1729" t="str">
        <f>"101050002019950"</f>
        <v>101050002019950</v>
      </c>
      <c r="J1729" t="str">
        <f t="shared" si="335"/>
        <v>515120</v>
      </c>
      <c r="K1729" t="s">
        <v>2</v>
      </c>
      <c r="L1729">
        <v>49</v>
      </c>
      <c r="M1729">
        <v>49</v>
      </c>
      <c r="N1729">
        <v>0</v>
      </c>
      <c r="O1729" s="1">
        <v>45582.552835648145</v>
      </c>
      <c r="P1729" t="s">
        <v>125</v>
      </c>
    </row>
    <row r="1730" spans="1:16" x14ac:dyDescent="0.3">
      <c r="A1730" t="s">
        <v>25</v>
      </c>
      <c r="B1730" s="1">
        <v>45582.551979166667</v>
      </c>
      <c r="C1730" t="str">
        <f>"38"</f>
        <v>38</v>
      </c>
      <c r="D1730" t="s">
        <v>115</v>
      </c>
      <c r="E1730" t="s">
        <v>116</v>
      </c>
      <c r="F1730" t="s">
        <v>117</v>
      </c>
      <c r="H1730" t="s">
        <v>522</v>
      </c>
      <c r="L1730">
        <v>0</v>
      </c>
      <c r="M1730">
        <v>0</v>
      </c>
      <c r="N1730">
        <v>0</v>
      </c>
      <c r="O1730" s="1">
        <v>45582.551979166667</v>
      </c>
      <c r="P1730" t="s">
        <v>119</v>
      </c>
    </row>
    <row r="1731" spans="1:16" x14ac:dyDescent="0.3">
      <c r="A1731" t="s">
        <v>25</v>
      </c>
      <c r="B1731" s="1">
        <v>45582.551979166667</v>
      </c>
      <c r="C1731" t="str">
        <f t="shared" ref="C1731:C1737" si="336">"41"</f>
        <v>41</v>
      </c>
      <c r="D1731" t="s">
        <v>120</v>
      </c>
      <c r="E1731" t="s">
        <v>116</v>
      </c>
      <c r="F1731" t="s">
        <v>117</v>
      </c>
      <c r="H1731" t="s">
        <v>522</v>
      </c>
      <c r="I1731" t="str">
        <f>"101050002017069"</f>
        <v>101050002017069</v>
      </c>
      <c r="J1731" t="str">
        <f t="shared" ref="J1731:J1737" si="337">"515123"</f>
        <v>515123</v>
      </c>
      <c r="K1731" t="s">
        <v>19</v>
      </c>
      <c r="L1731">
        <v>49</v>
      </c>
      <c r="M1731">
        <v>49</v>
      </c>
      <c r="N1731">
        <v>0</v>
      </c>
      <c r="O1731" s="1">
        <v>45582.551979166667</v>
      </c>
      <c r="P1731" t="s">
        <v>119</v>
      </c>
    </row>
    <row r="1732" spans="1:16" x14ac:dyDescent="0.3">
      <c r="A1732" t="s">
        <v>25</v>
      </c>
      <c r="B1732" s="1">
        <v>45582.551979166667</v>
      </c>
      <c r="C1732" t="str">
        <f t="shared" si="336"/>
        <v>41</v>
      </c>
      <c r="D1732" t="s">
        <v>120</v>
      </c>
      <c r="E1732" t="s">
        <v>116</v>
      </c>
      <c r="F1732" t="s">
        <v>117</v>
      </c>
      <c r="H1732" t="s">
        <v>522</v>
      </c>
      <c r="I1732" t="str">
        <f>"101050002016884"</f>
        <v>101050002016884</v>
      </c>
      <c r="J1732" t="str">
        <f t="shared" si="337"/>
        <v>515123</v>
      </c>
      <c r="K1732" t="s">
        <v>19</v>
      </c>
      <c r="L1732">
        <v>49</v>
      </c>
      <c r="M1732">
        <v>49</v>
      </c>
      <c r="N1732">
        <v>0</v>
      </c>
      <c r="O1732" s="1">
        <v>45582.551979166667</v>
      </c>
      <c r="P1732" t="s">
        <v>119</v>
      </c>
    </row>
    <row r="1733" spans="1:16" x14ac:dyDescent="0.3">
      <c r="A1733" t="s">
        <v>25</v>
      </c>
      <c r="B1733" s="1">
        <v>45582.551979166667</v>
      </c>
      <c r="C1733" t="str">
        <f t="shared" si="336"/>
        <v>41</v>
      </c>
      <c r="D1733" t="s">
        <v>120</v>
      </c>
      <c r="E1733" t="s">
        <v>116</v>
      </c>
      <c r="F1733" t="s">
        <v>117</v>
      </c>
      <c r="H1733" t="s">
        <v>522</v>
      </c>
      <c r="I1733" t="str">
        <f>"101050002016567"</f>
        <v>101050002016567</v>
      </c>
      <c r="J1733" t="str">
        <f t="shared" si="337"/>
        <v>515123</v>
      </c>
      <c r="K1733" t="s">
        <v>19</v>
      </c>
      <c r="L1733">
        <v>49</v>
      </c>
      <c r="M1733">
        <v>49</v>
      </c>
      <c r="N1733">
        <v>0</v>
      </c>
      <c r="O1733" s="1">
        <v>45582.551979166667</v>
      </c>
      <c r="P1733" t="s">
        <v>119</v>
      </c>
    </row>
    <row r="1734" spans="1:16" x14ac:dyDescent="0.3">
      <c r="A1734" t="s">
        <v>25</v>
      </c>
      <c r="B1734" s="1">
        <v>45582.551979166667</v>
      </c>
      <c r="C1734" t="str">
        <f t="shared" si="336"/>
        <v>41</v>
      </c>
      <c r="D1734" t="s">
        <v>120</v>
      </c>
      <c r="E1734" t="s">
        <v>116</v>
      </c>
      <c r="F1734" t="s">
        <v>117</v>
      </c>
      <c r="H1734" t="s">
        <v>522</v>
      </c>
      <c r="I1734" t="str">
        <f>"101050002025224"</f>
        <v>101050002025224</v>
      </c>
      <c r="J1734" t="str">
        <f t="shared" si="337"/>
        <v>515123</v>
      </c>
      <c r="K1734" t="s">
        <v>19</v>
      </c>
      <c r="L1734">
        <v>49</v>
      </c>
      <c r="M1734">
        <v>49</v>
      </c>
      <c r="N1734">
        <v>0</v>
      </c>
      <c r="O1734" s="1">
        <v>45582.551979166667</v>
      </c>
      <c r="P1734" t="s">
        <v>119</v>
      </c>
    </row>
    <row r="1735" spans="1:16" x14ac:dyDescent="0.3">
      <c r="A1735" t="s">
        <v>25</v>
      </c>
      <c r="B1735" s="1">
        <v>45582.551979166667</v>
      </c>
      <c r="C1735" t="str">
        <f t="shared" si="336"/>
        <v>41</v>
      </c>
      <c r="D1735" t="s">
        <v>120</v>
      </c>
      <c r="E1735" t="s">
        <v>116</v>
      </c>
      <c r="F1735" t="s">
        <v>117</v>
      </c>
      <c r="H1735" t="s">
        <v>522</v>
      </c>
      <c r="I1735" t="str">
        <f>"101050002017567"</f>
        <v>101050002017567</v>
      </c>
      <c r="J1735" t="str">
        <f t="shared" si="337"/>
        <v>515123</v>
      </c>
      <c r="K1735" t="s">
        <v>19</v>
      </c>
      <c r="L1735">
        <v>49</v>
      </c>
      <c r="M1735">
        <v>49</v>
      </c>
      <c r="N1735">
        <v>0</v>
      </c>
      <c r="O1735" s="1">
        <v>45582.551979166667</v>
      </c>
      <c r="P1735" t="s">
        <v>119</v>
      </c>
    </row>
    <row r="1736" spans="1:16" x14ac:dyDescent="0.3">
      <c r="A1736" t="s">
        <v>25</v>
      </c>
      <c r="B1736" s="1">
        <v>45582.551979166667</v>
      </c>
      <c r="C1736" t="str">
        <f t="shared" si="336"/>
        <v>41</v>
      </c>
      <c r="D1736" t="s">
        <v>120</v>
      </c>
      <c r="E1736" t="s">
        <v>116</v>
      </c>
      <c r="F1736" t="s">
        <v>117</v>
      </c>
      <c r="H1736" t="s">
        <v>522</v>
      </c>
      <c r="I1736" t="str">
        <f>"101050002016823"</f>
        <v>101050002016823</v>
      </c>
      <c r="J1736" t="str">
        <f t="shared" si="337"/>
        <v>515123</v>
      </c>
      <c r="K1736" t="s">
        <v>19</v>
      </c>
      <c r="L1736">
        <v>49</v>
      </c>
      <c r="M1736">
        <v>49</v>
      </c>
      <c r="N1736">
        <v>0</v>
      </c>
      <c r="O1736" s="1">
        <v>45582.551979166667</v>
      </c>
      <c r="P1736" t="s">
        <v>119</v>
      </c>
    </row>
    <row r="1737" spans="1:16" x14ac:dyDescent="0.3">
      <c r="A1737" t="s">
        <v>25</v>
      </c>
      <c r="B1737" s="1">
        <v>45582.55196759259</v>
      </c>
      <c r="C1737" t="str">
        <f t="shared" si="336"/>
        <v>41</v>
      </c>
      <c r="D1737" t="s">
        <v>120</v>
      </c>
      <c r="E1737" t="s">
        <v>116</v>
      </c>
      <c r="F1737" t="s">
        <v>117</v>
      </c>
      <c r="H1737" t="s">
        <v>522</v>
      </c>
      <c r="I1737" t="str">
        <f>"101050002016627"</f>
        <v>101050002016627</v>
      </c>
      <c r="J1737" t="str">
        <f t="shared" si="337"/>
        <v>515123</v>
      </c>
      <c r="K1737" t="s">
        <v>19</v>
      </c>
      <c r="L1737">
        <v>49</v>
      </c>
      <c r="M1737">
        <v>49</v>
      </c>
      <c r="N1737">
        <v>0</v>
      </c>
      <c r="O1737" s="1">
        <v>45582.55196759259</v>
      </c>
      <c r="P1737" t="s">
        <v>119</v>
      </c>
    </row>
    <row r="1738" spans="1:16" x14ac:dyDescent="0.3">
      <c r="A1738" t="s">
        <v>25</v>
      </c>
      <c r="B1738" s="1">
        <v>45582.55064814815</v>
      </c>
      <c r="C1738" t="str">
        <f>"38"</f>
        <v>38</v>
      </c>
      <c r="D1738" t="s">
        <v>115</v>
      </c>
      <c r="E1738" t="s">
        <v>116</v>
      </c>
      <c r="F1738" t="s">
        <v>117</v>
      </c>
      <c r="H1738" t="s">
        <v>523</v>
      </c>
      <c r="L1738">
        <v>0</v>
      </c>
      <c r="M1738">
        <v>0</v>
      </c>
      <c r="N1738">
        <v>0</v>
      </c>
      <c r="O1738" s="1">
        <v>45582.55064814815</v>
      </c>
      <c r="P1738" t="s">
        <v>122</v>
      </c>
    </row>
    <row r="1739" spans="1:16" x14ac:dyDescent="0.3">
      <c r="A1739" t="s">
        <v>25</v>
      </c>
      <c r="B1739" s="1">
        <v>45582.55064814815</v>
      </c>
      <c r="C1739" t="str">
        <f t="shared" ref="C1739:C1745" si="338">"41"</f>
        <v>41</v>
      </c>
      <c r="D1739" t="s">
        <v>120</v>
      </c>
      <c r="E1739" t="s">
        <v>116</v>
      </c>
      <c r="F1739" t="s">
        <v>117</v>
      </c>
      <c r="H1739" t="s">
        <v>523</v>
      </c>
      <c r="I1739" t="str">
        <f>"101050002017391"</f>
        <v>101050002017391</v>
      </c>
      <c r="J1739" t="str">
        <f t="shared" ref="J1739:J1745" si="339">"127802"</f>
        <v>127802</v>
      </c>
      <c r="K1739" t="s">
        <v>6</v>
      </c>
      <c r="L1739">
        <v>91</v>
      </c>
      <c r="M1739">
        <v>91</v>
      </c>
      <c r="N1739">
        <v>0</v>
      </c>
      <c r="O1739" s="1">
        <v>45582.55064814815</v>
      </c>
      <c r="P1739" t="s">
        <v>122</v>
      </c>
    </row>
    <row r="1740" spans="1:16" x14ac:dyDescent="0.3">
      <c r="A1740" t="s">
        <v>25</v>
      </c>
      <c r="B1740" s="1">
        <v>45582.55064814815</v>
      </c>
      <c r="C1740" t="str">
        <f t="shared" si="338"/>
        <v>41</v>
      </c>
      <c r="D1740" t="s">
        <v>120</v>
      </c>
      <c r="E1740" t="s">
        <v>116</v>
      </c>
      <c r="F1740" t="s">
        <v>117</v>
      </c>
      <c r="H1740" t="s">
        <v>523</v>
      </c>
      <c r="I1740" t="str">
        <f>"101050002017390"</f>
        <v>101050002017390</v>
      </c>
      <c r="J1740" t="str">
        <f t="shared" si="339"/>
        <v>127802</v>
      </c>
      <c r="K1740" t="s">
        <v>6</v>
      </c>
      <c r="L1740">
        <v>91</v>
      </c>
      <c r="M1740">
        <v>91</v>
      </c>
      <c r="N1740">
        <v>0</v>
      </c>
      <c r="O1740" s="1">
        <v>45582.55064814815</v>
      </c>
      <c r="P1740" t="s">
        <v>122</v>
      </c>
    </row>
    <row r="1741" spans="1:16" x14ac:dyDescent="0.3">
      <c r="A1741" t="s">
        <v>25</v>
      </c>
      <c r="B1741" s="1">
        <v>45582.550636574073</v>
      </c>
      <c r="C1741" t="str">
        <f t="shared" si="338"/>
        <v>41</v>
      </c>
      <c r="D1741" t="s">
        <v>120</v>
      </c>
      <c r="E1741" t="s">
        <v>116</v>
      </c>
      <c r="F1741" t="s">
        <v>117</v>
      </c>
      <c r="H1741" t="s">
        <v>523</v>
      </c>
      <c r="I1741" t="str">
        <f>"101050002017218"</f>
        <v>101050002017218</v>
      </c>
      <c r="J1741" t="str">
        <f t="shared" si="339"/>
        <v>127802</v>
      </c>
      <c r="K1741" t="s">
        <v>6</v>
      </c>
      <c r="L1741">
        <v>91</v>
      </c>
      <c r="M1741">
        <v>91</v>
      </c>
      <c r="N1741">
        <v>0</v>
      </c>
      <c r="O1741" s="1">
        <v>45582.550636574073</v>
      </c>
      <c r="P1741" t="s">
        <v>122</v>
      </c>
    </row>
    <row r="1742" spans="1:16" x14ac:dyDescent="0.3">
      <c r="A1742" t="s">
        <v>25</v>
      </c>
      <c r="B1742" s="1">
        <v>45582.550636574073</v>
      </c>
      <c r="C1742" t="str">
        <f t="shared" si="338"/>
        <v>41</v>
      </c>
      <c r="D1742" t="s">
        <v>120</v>
      </c>
      <c r="E1742" t="s">
        <v>116</v>
      </c>
      <c r="F1742" t="s">
        <v>117</v>
      </c>
      <c r="H1742" t="s">
        <v>523</v>
      </c>
      <c r="I1742" t="str">
        <f>"101050002017171"</f>
        <v>101050002017171</v>
      </c>
      <c r="J1742" t="str">
        <f t="shared" si="339"/>
        <v>127802</v>
      </c>
      <c r="K1742" t="s">
        <v>6</v>
      </c>
      <c r="L1742">
        <v>91</v>
      </c>
      <c r="M1742">
        <v>91</v>
      </c>
      <c r="N1742">
        <v>0</v>
      </c>
      <c r="O1742" s="1">
        <v>45582.550636574073</v>
      </c>
      <c r="P1742" t="s">
        <v>122</v>
      </c>
    </row>
    <row r="1743" spans="1:16" x14ac:dyDescent="0.3">
      <c r="A1743" t="s">
        <v>25</v>
      </c>
      <c r="B1743" s="1">
        <v>45582.550636574073</v>
      </c>
      <c r="C1743" t="str">
        <f t="shared" si="338"/>
        <v>41</v>
      </c>
      <c r="D1743" t="s">
        <v>120</v>
      </c>
      <c r="E1743" t="s">
        <v>116</v>
      </c>
      <c r="F1743" t="s">
        <v>117</v>
      </c>
      <c r="H1743" t="s">
        <v>523</v>
      </c>
      <c r="I1743" t="str">
        <f>"101050002017146"</f>
        <v>101050002017146</v>
      </c>
      <c r="J1743" t="str">
        <f t="shared" si="339"/>
        <v>127802</v>
      </c>
      <c r="K1743" t="s">
        <v>6</v>
      </c>
      <c r="L1743">
        <v>91</v>
      </c>
      <c r="M1743">
        <v>91</v>
      </c>
      <c r="N1743">
        <v>0</v>
      </c>
      <c r="O1743" s="1">
        <v>45582.550636574073</v>
      </c>
      <c r="P1743" t="s">
        <v>122</v>
      </c>
    </row>
    <row r="1744" spans="1:16" x14ac:dyDescent="0.3">
      <c r="A1744" t="s">
        <v>25</v>
      </c>
      <c r="B1744" s="1">
        <v>45582.550636574073</v>
      </c>
      <c r="C1744" t="str">
        <f t="shared" si="338"/>
        <v>41</v>
      </c>
      <c r="D1744" t="s">
        <v>120</v>
      </c>
      <c r="E1744" t="s">
        <v>116</v>
      </c>
      <c r="F1744" t="s">
        <v>117</v>
      </c>
      <c r="H1744" t="s">
        <v>523</v>
      </c>
      <c r="I1744" t="str">
        <f>"101050002017144"</f>
        <v>101050002017144</v>
      </c>
      <c r="J1744" t="str">
        <f t="shared" si="339"/>
        <v>127802</v>
      </c>
      <c r="K1744" t="s">
        <v>6</v>
      </c>
      <c r="L1744">
        <v>91</v>
      </c>
      <c r="M1744">
        <v>91</v>
      </c>
      <c r="N1744">
        <v>0</v>
      </c>
      <c r="O1744" s="1">
        <v>45582.550636574073</v>
      </c>
      <c r="P1744" t="s">
        <v>122</v>
      </c>
    </row>
    <row r="1745" spans="1:16" x14ac:dyDescent="0.3">
      <c r="A1745" t="s">
        <v>25</v>
      </c>
      <c r="B1745" s="1">
        <v>45582.550636574073</v>
      </c>
      <c r="C1745" t="str">
        <f t="shared" si="338"/>
        <v>41</v>
      </c>
      <c r="D1745" t="s">
        <v>120</v>
      </c>
      <c r="E1745" t="s">
        <v>116</v>
      </c>
      <c r="F1745" t="s">
        <v>117</v>
      </c>
      <c r="H1745" t="s">
        <v>523</v>
      </c>
      <c r="I1745" t="str">
        <f>"101050002017062"</f>
        <v>101050002017062</v>
      </c>
      <c r="J1745" t="str">
        <f t="shared" si="339"/>
        <v>127802</v>
      </c>
      <c r="K1745" t="s">
        <v>6</v>
      </c>
      <c r="L1745">
        <v>91</v>
      </c>
      <c r="M1745">
        <v>91</v>
      </c>
      <c r="N1745">
        <v>0</v>
      </c>
      <c r="O1745" s="1">
        <v>45582.550636574073</v>
      </c>
      <c r="P1745" t="s">
        <v>122</v>
      </c>
    </row>
    <row r="1746" spans="1:16" x14ac:dyDescent="0.3">
      <c r="A1746" t="s">
        <v>25</v>
      </c>
      <c r="B1746" s="1">
        <v>45582.550451388888</v>
      </c>
      <c r="C1746" t="str">
        <f>"38"</f>
        <v>38</v>
      </c>
      <c r="D1746" t="s">
        <v>115</v>
      </c>
      <c r="E1746" t="s">
        <v>116</v>
      </c>
      <c r="F1746" t="s">
        <v>117</v>
      </c>
      <c r="H1746" t="s">
        <v>524</v>
      </c>
      <c r="L1746">
        <v>0</v>
      </c>
      <c r="M1746">
        <v>0</v>
      </c>
      <c r="N1746">
        <v>0</v>
      </c>
      <c r="O1746" s="1">
        <v>45582.550451388888</v>
      </c>
      <c r="P1746" t="s">
        <v>392</v>
      </c>
    </row>
    <row r="1747" spans="1:16" x14ac:dyDescent="0.3">
      <c r="A1747" t="s">
        <v>25</v>
      </c>
      <c r="B1747" s="1">
        <v>45582.550451388888</v>
      </c>
      <c r="C1747" t="str">
        <f t="shared" ref="C1747:C1753" si="340">"41"</f>
        <v>41</v>
      </c>
      <c r="D1747" t="s">
        <v>120</v>
      </c>
      <c r="E1747" t="s">
        <v>116</v>
      </c>
      <c r="F1747" t="s">
        <v>117</v>
      </c>
      <c r="H1747" t="s">
        <v>524</v>
      </c>
      <c r="I1747" t="str">
        <f>"101050002023551"</f>
        <v>101050002023551</v>
      </c>
      <c r="J1747" t="str">
        <f t="shared" ref="J1747:J1753" si="341">"514913"</f>
        <v>514913</v>
      </c>
      <c r="K1747" t="s">
        <v>93</v>
      </c>
      <c r="L1747">
        <v>91</v>
      </c>
      <c r="M1747">
        <v>91</v>
      </c>
      <c r="N1747">
        <v>0</v>
      </c>
      <c r="O1747" s="1">
        <v>45582.550451388888</v>
      </c>
      <c r="P1747" t="s">
        <v>392</v>
      </c>
    </row>
    <row r="1748" spans="1:16" x14ac:dyDescent="0.3">
      <c r="A1748" t="s">
        <v>25</v>
      </c>
      <c r="B1748" s="1">
        <v>45582.550451388888</v>
      </c>
      <c r="C1748" t="str">
        <f t="shared" si="340"/>
        <v>41</v>
      </c>
      <c r="D1748" t="s">
        <v>120</v>
      </c>
      <c r="E1748" t="s">
        <v>116</v>
      </c>
      <c r="F1748" t="s">
        <v>117</v>
      </c>
      <c r="H1748" t="s">
        <v>524</v>
      </c>
      <c r="I1748" t="str">
        <f>"101050002021958"</f>
        <v>101050002021958</v>
      </c>
      <c r="J1748" t="str">
        <f t="shared" si="341"/>
        <v>514913</v>
      </c>
      <c r="K1748" t="s">
        <v>93</v>
      </c>
      <c r="L1748">
        <v>91</v>
      </c>
      <c r="M1748">
        <v>91</v>
      </c>
      <c r="N1748">
        <v>0</v>
      </c>
      <c r="O1748" s="1">
        <v>45582.550451388888</v>
      </c>
      <c r="P1748" t="s">
        <v>392</v>
      </c>
    </row>
    <row r="1749" spans="1:16" x14ac:dyDescent="0.3">
      <c r="A1749" t="s">
        <v>25</v>
      </c>
      <c r="B1749" s="1">
        <v>45582.550451388888</v>
      </c>
      <c r="C1749" t="str">
        <f t="shared" si="340"/>
        <v>41</v>
      </c>
      <c r="D1749" t="s">
        <v>120</v>
      </c>
      <c r="E1749" t="s">
        <v>116</v>
      </c>
      <c r="F1749" t="s">
        <v>117</v>
      </c>
      <c r="H1749" t="s">
        <v>524</v>
      </c>
      <c r="I1749" t="str">
        <f>"101050002021982"</f>
        <v>101050002021982</v>
      </c>
      <c r="J1749" t="str">
        <f t="shared" si="341"/>
        <v>514913</v>
      </c>
      <c r="K1749" t="s">
        <v>93</v>
      </c>
      <c r="L1749">
        <v>91</v>
      </c>
      <c r="M1749">
        <v>91</v>
      </c>
      <c r="N1749">
        <v>0</v>
      </c>
      <c r="O1749" s="1">
        <v>45582.550451388888</v>
      </c>
      <c r="P1749" t="s">
        <v>392</v>
      </c>
    </row>
    <row r="1750" spans="1:16" x14ac:dyDescent="0.3">
      <c r="A1750" t="s">
        <v>25</v>
      </c>
      <c r="B1750" s="1">
        <v>45582.550451388888</v>
      </c>
      <c r="C1750" t="str">
        <f t="shared" si="340"/>
        <v>41</v>
      </c>
      <c r="D1750" t="s">
        <v>120</v>
      </c>
      <c r="E1750" t="s">
        <v>116</v>
      </c>
      <c r="F1750" t="s">
        <v>117</v>
      </c>
      <c r="H1750" t="s">
        <v>524</v>
      </c>
      <c r="I1750" t="str">
        <f>"101050002021843"</f>
        <v>101050002021843</v>
      </c>
      <c r="J1750" t="str">
        <f t="shared" si="341"/>
        <v>514913</v>
      </c>
      <c r="K1750" t="s">
        <v>93</v>
      </c>
      <c r="L1750">
        <v>91</v>
      </c>
      <c r="M1750">
        <v>91</v>
      </c>
      <c r="N1750">
        <v>0</v>
      </c>
      <c r="O1750" s="1">
        <v>45582.550451388888</v>
      </c>
      <c r="P1750" t="s">
        <v>392</v>
      </c>
    </row>
    <row r="1751" spans="1:16" x14ac:dyDescent="0.3">
      <c r="A1751" t="s">
        <v>25</v>
      </c>
      <c r="B1751" s="1">
        <v>45582.550451388888</v>
      </c>
      <c r="C1751" t="str">
        <f t="shared" si="340"/>
        <v>41</v>
      </c>
      <c r="D1751" t="s">
        <v>120</v>
      </c>
      <c r="E1751" t="s">
        <v>116</v>
      </c>
      <c r="F1751" t="s">
        <v>117</v>
      </c>
      <c r="H1751" t="s">
        <v>524</v>
      </c>
      <c r="I1751" t="str">
        <f>"101050002022192"</f>
        <v>101050002022192</v>
      </c>
      <c r="J1751" t="str">
        <f t="shared" si="341"/>
        <v>514913</v>
      </c>
      <c r="K1751" t="s">
        <v>93</v>
      </c>
      <c r="L1751">
        <v>91</v>
      </c>
      <c r="M1751">
        <v>91</v>
      </c>
      <c r="N1751">
        <v>0</v>
      </c>
      <c r="O1751" s="1">
        <v>45582.550451388888</v>
      </c>
      <c r="P1751" t="s">
        <v>392</v>
      </c>
    </row>
    <row r="1752" spans="1:16" x14ac:dyDescent="0.3">
      <c r="A1752" t="s">
        <v>25</v>
      </c>
      <c r="B1752" s="1">
        <v>45582.550439814811</v>
      </c>
      <c r="C1752" t="str">
        <f t="shared" si="340"/>
        <v>41</v>
      </c>
      <c r="D1752" t="s">
        <v>120</v>
      </c>
      <c r="E1752" t="s">
        <v>116</v>
      </c>
      <c r="F1752" t="s">
        <v>117</v>
      </c>
      <c r="H1752" t="s">
        <v>524</v>
      </c>
      <c r="I1752" t="str">
        <f>"101050002022726"</f>
        <v>101050002022726</v>
      </c>
      <c r="J1752" t="str">
        <f t="shared" si="341"/>
        <v>514913</v>
      </c>
      <c r="K1752" t="s">
        <v>93</v>
      </c>
      <c r="L1752">
        <v>91</v>
      </c>
      <c r="M1752">
        <v>91</v>
      </c>
      <c r="N1752">
        <v>0</v>
      </c>
      <c r="O1752" s="1">
        <v>45582.550439814811</v>
      </c>
      <c r="P1752" t="s">
        <v>392</v>
      </c>
    </row>
    <row r="1753" spans="1:16" x14ac:dyDescent="0.3">
      <c r="A1753" t="s">
        <v>25</v>
      </c>
      <c r="B1753" s="1">
        <v>45582.550439814811</v>
      </c>
      <c r="C1753" t="str">
        <f t="shared" si="340"/>
        <v>41</v>
      </c>
      <c r="D1753" t="s">
        <v>120</v>
      </c>
      <c r="E1753" t="s">
        <v>116</v>
      </c>
      <c r="F1753" t="s">
        <v>117</v>
      </c>
      <c r="H1753" t="s">
        <v>524</v>
      </c>
      <c r="I1753" t="str">
        <f>"101050002023579"</f>
        <v>101050002023579</v>
      </c>
      <c r="J1753" t="str">
        <f t="shared" si="341"/>
        <v>514913</v>
      </c>
      <c r="K1753" t="s">
        <v>93</v>
      </c>
      <c r="L1753">
        <v>91</v>
      </c>
      <c r="M1753">
        <v>91</v>
      </c>
      <c r="N1753">
        <v>0</v>
      </c>
      <c r="O1753" s="1">
        <v>45582.550439814811</v>
      </c>
      <c r="P1753" t="s">
        <v>392</v>
      </c>
    </row>
    <row r="1754" spans="1:16" x14ac:dyDescent="0.3">
      <c r="A1754" t="s">
        <v>25</v>
      </c>
      <c r="B1754" s="1">
        <v>45582.55028935185</v>
      </c>
      <c r="C1754" t="str">
        <f>"38"</f>
        <v>38</v>
      </c>
      <c r="D1754" t="s">
        <v>115</v>
      </c>
      <c r="E1754" t="s">
        <v>116</v>
      </c>
      <c r="F1754" t="s">
        <v>117</v>
      </c>
      <c r="H1754" t="s">
        <v>525</v>
      </c>
      <c r="L1754">
        <v>0</v>
      </c>
      <c r="M1754">
        <v>0</v>
      </c>
      <c r="N1754">
        <v>0</v>
      </c>
      <c r="O1754" s="1">
        <v>45582.55028935185</v>
      </c>
      <c r="P1754" t="s">
        <v>125</v>
      </c>
    </row>
    <row r="1755" spans="1:16" x14ac:dyDescent="0.3">
      <c r="A1755" t="s">
        <v>25</v>
      </c>
      <c r="B1755" s="1">
        <v>45582.55028935185</v>
      </c>
      <c r="C1755" t="str">
        <f t="shared" ref="C1755:C1761" si="342">"41"</f>
        <v>41</v>
      </c>
      <c r="D1755" t="s">
        <v>120</v>
      </c>
      <c r="E1755" t="s">
        <v>116</v>
      </c>
      <c r="F1755" t="s">
        <v>117</v>
      </c>
      <c r="H1755" t="s">
        <v>525</v>
      </c>
      <c r="I1755" t="str">
        <f>"101050002023560"</f>
        <v>101050002023560</v>
      </c>
      <c r="J1755" t="str">
        <f t="shared" ref="J1755:J1761" si="343">"515120"</f>
        <v>515120</v>
      </c>
      <c r="K1755" t="s">
        <v>2</v>
      </c>
      <c r="L1755">
        <v>49</v>
      </c>
      <c r="M1755">
        <v>49</v>
      </c>
      <c r="N1755">
        <v>0</v>
      </c>
      <c r="O1755" s="1">
        <v>45582.55028935185</v>
      </c>
      <c r="P1755" t="s">
        <v>125</v>
      </c>
    </row>
    <row r="1756" spans="1:16" x14ac:dyDescent="0.3">
      <c r="A1756" t="s">
        <v>25</v>
      </c>
      <c r="B1756" s="1">
        <v>45582.55027777778</v>
      </c>
      <c r="C1756" t="str">
        <f t="shared" si="342"/>
        <v>41</v>
      </c>
      <c r="D1756" t="s">
        <v>120</v>
      </c>
      <c r="E1756" t="s">
        <v>116</v>
      </c>
      <c r="F1756" t="s">
        <v>117</v>
      </c>
      <c r="H1756" t="s">
        <v>525</v>
      </c>
      <c r="I1756" t="str">
        <f>"101050002023733"</f>
        <v>101050002023733</v>
      </c>
      <c r="J1756" t="str">
        <f t="shared" si="343"/>
        <v>515120</v>
      </c>
      <c r="K1756" t="s">
        <v>2</v>
      </c>
      <c r="L1756">
        <v>49</v>
      </c>
      <c r="M1756">
        <v>49</v>
      </c>
      <c r="N1756">
        <v>0</v>
      </c>
      <c r="O1756" s="1">
        <v>45582.55027777778</v>
      </c>
      <c r="P1756" t="s">
        <v>125</v>
      </c>
    </row>
    <row r="1757" spans="1:16" x14ac:dyDescent="0.3">
      <c r="A1757" t="s">
        <v>25</v>
      </c>
      <c r="B1757" s="1">
        <v>45582.55027777778</v>
      </c>
      <c r="C1757" t="str">
        <f t="shared" si="342"/>
        <v>41</v>
      </c>
      <c r="D1757" t="s">
        <v>120</v>
      </c>
      <c r="E1757" t="s">
        <v>116</v>
      </c>
      <c r="F1757" t="s">
        <v>117</v>
      </c>
      <c r="H1757" t="s">
        <v>525</v>
      </c>
      <c r="I1757" t="str">
        <f>"101050002023700"</f>
        <v>101050002023700</v>
      </c>
      <c r="J1757" t="str">
        <f t="shared" si="343"/>
        <v>515120</v>
      </c>
      <c r="K1757" t="s">
        <v>2</v>
      </c>
      <c r="L1757">
        <v>49</v>
      </c>
      <c r="M1757">
        <v>49</v>
      </c>
      <c r="N1757">
        <v>0</v>
      </c>
      <c r="O1757" s="1">
        <v>45582.55027777778</v>
      </c>
      <c r="P1757" t="s">
        <v>125</v>
      </c>
    </row>
    <row r="1758" spans="1:16" x14ac:dyDescent="0.3">
      <c r="A1758" t="s">
        <v>25</v>
      </c>
      <c r="B1758" s="1">
        <v>45582.55027777778</v>
      </c>
      <c r="C1758" t="str">
        <f t="shared" si="342"/>
        <v>41</v>
      </c>
      <c r="D1758" t="s">
        <v>120</v>
      </c>
      <c r="E1758" t="s">
        <v>116</v>
      </c>
      <c r="F1758" t="s">
        <v>117</v>
      </c>
      <c r="H1758" t="s">
        <v>525</v>
      </c>
      <c r="I1758" t="str">
        <f>"101050002023569"</f>
        <v>101050002023569</v>
      </c>
      <c r="J1758" t="str">
        <f t="shared" si="343"/>
        <v>515120</v>
      </c>
      <c r="K1758" t="s">
        <v>2</v>
      </c>
      <c r="L1758">
        <v>49</v>
      </c>
      <c r="M1758">
        <v>49</v>
      </c>
      <c r="N1758">
        <v>0</v>
      </c>
      <c r="O1758" s="1">
        <v>45582.55027777778</v>
      </c>
      <c r="P1758" t="s">
        <v>125</v>
      </c>
    </row>
    <row r="1759" spans="1:16" x14ac:dyDescent="0.3">
      <c r="A1759" t="s">
        <v>25</v>
      </c>
      <c r="B1759" s="1">
        <v>45582.55027777778</v>
      </c>
      <c r="C1759" t="str">
        <f t="shared" si="342"/>
        <v>41</v>
      </c>
      <c r="D1759" t="s">
        <v>120</v>
      </c>
      <c r="E1759" t="s">
        <v>116</v>
      </c>
      <c r="F1759" t="s">
        <v>117</v>
      </c>
      <c r="H1759" t="s">
        <v>525</v>
      </c>
      <c r="I1759" t="str">
        <f>"101050002023807"</f>
        <v>101050002023807</v>
      </c>
      <c r="J1759" t="str">
        <f t="shared" si="343"/>
        <v>515120</v>
      </c>
      <c r="K1759" t="s">
        <v>2</v>
      </c>
      <c r="L1759">
        <v>49</v>
      </c>
      <c r="M1759">
        <v>49</v>
      </c>
      <c r="N1759">
        <v>0</v>
      </c>
      <c r="O1759" s="1">
        <v>45582.55027777778</v>
      </c>
      <c r="P1759" t="s">
        <v>125</v>
      </c>
    </row>
    <row r="1760" spans="1:16" x14ac:dyDescent="0.3">
      <c r="A1760" t="s">
        <v>25</v>
      </c>
      <c r="B1760" s="1">
        <v>45582.55027777778</v>
      </c>
      <c r="C1760" t="str">
        <f t="shared" si="342"/>
        <v>41</v>
      </c>
      <c r="D1760" t="s">
        <v>120</v>
      </c>
      <c r="E1760" t="s">
        <v>116</v>
      </c>
      <c r="F1760" t="s">
        <v>117</v>
      </c>
      <c r="H1760" t="s">
        <v>525</v>
      </c>
      <c r="I1760" t="str">
        <f>"101050002023611"</f>
        <v>101050002023611</v>
      </c>
      <c r="J1760" t="str">
        <f t="shared" si="343"/>
        <v>515120</v>
      </c>
      <c r="K1760" t="s">
        <v>2</v>
      </c>
      <c r="L1760">
        <v>49</v>
      </c>
      <c r="M1760">
        <v>49</v>
      </c>
      <c r="N1760">
        <v>0</v>
      </c>
      <c r="O1760" s="1">
        <v>45582.55027777778</v>
      </c>
      <c r="P1760" t="s">
        <v>125</v>
      </c>
    </row>
    <row r="1761" spans="1:16" x14ac:dyDescent="0.3">
      <c r="A1761" t="s">
        <v>25</v>
      </c>
      <c r="B1761" s="1">
        <v>45582.55027777778</v>
      </c>
      <c r="C1761" t="str">
        <f t="shared" si="342"/>
        <v>41</v>
      </c>
      <c r="D1761" t="s">
        <v>120</v>
      </c>
      <c r="E1761" t="s">
        <v>116</v>
      </c>
      <c r="F1761" t="s">
        <v>117</v>
      </c>
      <c r="H1761" t="s">
        <v>525</v>
      </c>
      <c r="I1761" t="str">
        <f>"101050002023841"</f>
        <v>101050002023841</v>
      </c>
      <c r="J1761" t="str">
        <f t="shared" si="343"/>
        <v>515120</v>
      </c>
      <c r="K1761" t="s">
        <v>2</v>
      </c>
      <c r="L1761">
        <v>49</v>
      </c>
      <c r="M1761">
        <v>49</v>
      </c>
      <c r="N1761">
        <v>0</v>
      </c>
      <c r="O1761" s="1">
        <v>45582.55027777778</v>
      </c>
      <c r="P1761" t="s">
        <v>125</v>
      </c>
    </row>
    <row r="1762" spans="1:16" x14ac:dyDescent="0.3">
      <c r="A1762" t="s">
        <v>25</v>
      </c>
      <c r="B1762" s="1">
        <v>45582.549756944441</v>
      </c>
      <c r="C1762" t="str">
        <f>"38"</f>
        <v>38</v>
      </c>
      <c r="D1762" t="s">
        <v>115</v>
      </c>
      <c r="E1762" t="s">
        <v>116</v>
      </c>
      <c r="F1762" t="s">
        <v>117</v>
      </c>
      <c r="H1762" t="s">
        <v>526</v>
      </c>
      <c r="L1762">
        <v>0</v>
      </c>
      <c r="M1762">
        <v>0</v>
      </c>
      <c r="N1762">
        <v>0</v>
      </c>
      <c r="O1762" s="1">
        <v>45582.549756944441</v>
      </c>
      <c r="P1762" t="s">
        <v>122</v>
      </c>
    </row>
    <row r="1763" spans="1:16" x14ac:dyDescent="0.3">
      <c r="A1763" t="s">
        <v>25</v>
      </c>
      <c r="B1763" s="1">
        <v>45582.549756944441</v>
      </c>
      <c r="C1763" t="str">
        <f t="shared" ref="C1763:C1769" si="344">"41"</f>
        <v>41</v>
      </c>
      <c r="D1763" t="s">
        <v>120</v>
      </c>
      <c r="E1763" t="s">
        <v>116</v>
      </c>
      <c r="F1763" t="s">
        <v>117</v>
      </c>
      <c r="H1763" t="s">
        <v>526</v>
      </c>
      <c r="I1763" t="str">
        <f>"101050002023894"</f>
        <v>101050002023894</v>
      </c>
      <c r="J1763" t="str">
        <f t="shared" ref="J1763:J1769" si="345">"515122"</f>
        <v>515122</v>
      </c>
      <c r="K1763" t="s">
        <v>4</v>
      </c>
      <c r="L1763">
        <v>49</v>
      </c>
      <c r="M1763">
        <v>49</v>
      </c>
      <c r="N1763">
        <v>0</v>
      </c>
      <c r="O1763" s="1">
        <v>45582.549756944441</v>
      </c>
      <c r="P1763" t="s">
        <v>122</v>
      </c>
    </row>
    <row r="1764" spans="1:16" x14ac:dyDescent="0.3">
      <c r="A1764" t="s">
        <v>25</v>
      </c>
      <c r="B1764" s="1">
        <v>45582.549756944441</v>
      </c>
      <c r="C1764" t="str">
        <f t="shared" si="344"/>
        <v>41</v>
      </c>
      <c r="D1764" t="s">
        <v>120</v>
      </c>
      <c r="E1764" t="s">
        <v>116</v>
      </c>
      <c r="F1764" t="s">
        <v>117</v>
      </c>
      <c r="H1764" t="s">
        <v>526</v>
      </c>
      <c r="I1764" t="str">
        <f>"101050002023876"</f>
        <v>101050002023876</v>
      </c>
      <c r="J1764" t="str">
        <f t="shared" si="345"/>
        <v>515122</v>
      </c>
      <c r="K1764" t="s">
        <v>4</v>
      </c>
      <c r="L1764">
        <v>49</v>
      </c>
      <c r="M1764">
        <v>49</v>
      </c>
      <c r="N1764">
        <v>0</v>
      </c>
      <c r="O1764" s="1">
        <v>45582.549756944441</v>
      </c>
      <c r="P1764" t="s">
        <v>122</v>
      </c>
    </row>
    <row r="1765" spans="1:16" x14ac:dyDescent="0.3">
      <c r="A1765" t="s">
        <v>25</v>
      </c>
      <c r="B1765" s="1">
        <v>45582.549745370372</v>
      </c>
      <c r="C1765" t="str">
        <f t="shared" si="344"/>
        <v>41</v>
      </c>
      <c r="D1765" t="s">
        <v>120</v>
      </c>
      <c r="E1765" t="s">
        <v>116</v>
      </c>
      <c r="F1765" t="s">
        <v>117</v>
      </c>
      <c r="H1765" t="s">
        <v>526</v>
      </c>
      <c r="I1765" t="str">
        <f>"101050002023727"</f>
        <v>101050002023727</v>
      </c>
      <c r="J1765" t="str">
        <f t="shared" si="345"/>
        <v>515122</v>
      </c>
      <c r="K1765" t="s">
        <v>4</v>
      </c>
      <c r="L1765">
        <v>49</v>
      </c>
      <c r="M1765">
        <v>49</v>
      </c>
      <c r="N1765">
        <v>0</v>
      </c>
      <c r="O1765" s="1">
        <v>45582.549745370372</v>
      </c>
      <c r="P1765" t="s">
        <v>122</v>
      </c>
    </row>
    <row r="1766" spans="1:16" x14ac:dyDescent="0.3">
      <c r="A1766" t="s">
        <v>25</v>
      </c>
      <c r="B1766" s="1">
        <v>45582.549745370372</v>
      </c>
      <c r="C1766" t="str">
        <f t="shared" si="344"/>
        <v>41</v>
      </c>
      <c r="D1766" t="s">
        <v>120</v>
      </c>
      <c r="E1766" t="s">
        <v>116</v>
      </c>
      <c r="F1766" t="s">
        <v>117</v>
      </c>
      <c r="H1766" t="s">
        <v>526</v>
      </c>
      <c r="I1766" t="str">
        <f>"101050002023678"</f>
        <v>101050002023678</v>
      </c>
      <c r="J1766" t="str">
        <f t="shared" si="345"/>
        <v>515122</v>
      </c>
      <c r="K1766" t="s">
        <v>4</v>
      </c>
      <c r="L1766">
        <v>49</v>
      </c>
      <c r="M1766">
        <v>49</v>
      </c>
      <c r="N1766">
        <v>0</v>
      </c>
      <c r="O1766" s="1">
        <v>45582.549745370372</v>
      </c>
      <c r="P1766" t="s">
        <v>122</v>
      </c>
    </row>
    <row r="1767" spans="1:16" x14ac:dyDescent="0.3">
      <c r="A1767" t="s">
        <v>25</v>
      </c>
      <c r="B1767" s="1">
        <v>45582.549745370372</v>
      </c>
      <c r="C1767" t="str">
        <f t="shared" si="344"/>
        <v>41</v>
      </c>
      <c r="D1767" t="s">
        <v>120</v>
      </c>
      <c r="E1767" t="s">
        <v>116</v>
      </c>
      <c r="F1767" t="s">
        <v>117</v>
      </c>
      <c r="H1767" t="s">
        <v>526</v>
      </c>
      <c r="I1767" t="str">
        <f>"101050002023676"</f>
        <v>101050002023676</v>
      </c>
      <c r="J1767" t="str">
        <f t="shared" si="345"/>
        <v>515122</v>
      </c>
      <c r="K1767" t="s">
        <v>4</v>
      </c>
      <c r="L1767">
        <v>49</v>
      </c>
      <c r="M1767">
        <v>49</v>
      </c>
      <c r="N1767">
        <v>0</v>
      </c>
      <c r="O1767" s="1">
        <v>45582.549745370372</v>
      </c>
      <c r="P1767" t="s">
        <v>122</v>
      </c>
    </row>
    <row r="1768" spans="1:16" x14ac:dyDescent="0.3">
      <c r="A1768" t="s">
        <v>25</v>
      </c>
      <c r="B1768" s="1">
        <v>45582.549745370372</v>
      </c>
      <c r="C1768" t="str">
        <f t="shared" si="344"/>
        <v>41</v>
      </c>
      <c r="D1768" t="s">
        <v>120</v>
      </c>
      <c r="E1768" t="s">
        <v>116</v>
      </c>
      <c r="F1768" t="s">
        <v>117</v>
      </c>
      <c r="H1768" t="s">
        <v>526</v>
      </c>
      <c r="I1768" t="str">
        <f>"101050002023272"</f>
        <v>101050002023272</v>
      </c>
      <c r="J1768" t="str">
        <f t="shared" si="345"/>
        <v>515122</v>
      </c>
      <c r="K1768" t="s">
        <v>4</v>
      </c>
      <c r="L1768">
        <v>49</v>
      </c>
      <c r="M1768">
        <v>49</v>
      </c>
      <c r="N1768">
        <v>0</v>
      </c>
      <c r="O1768" s="1">
        <v>45582.549745370372</v>
      </c>
      <c r="P1768" t="s">
        <v>122</v>
      </c>
    </row>
    <row r="1769" spans="1:16" x14ac:dyDescent="0.3">
      <c r="A1769" t="s">
        <v>25</v>
      </c>
      <c r="B1769" s="1">
        <v>45582.549745370372</v>
      </c>
      <c r="C1769" t="str">
        <f t="shared" si="344"/>
        <v>41</v>
      </c>
      <c r="D1769" t="s">
        <v>120</v>
      </c>
      <c r="E1769" t="s">
        <v>116</v>
      </c>
      <c r="F1769" t="s">
        <v>117</v>
      </c>
      <c r="H1769" t="s">
        <v>526</v>
      </c>
      <c r="I1769" t="str">
        <f>"101050002023671"</f>
        <v>101050002023671</v>
      </c>
      <c r="J1769" t="str">
        <f t="shared" si="345"/>
        <v>515122</v>
      </c>
      <c r="K1769" t="s">
        <v>4</v>
      </c>
      <c r="L1769">
        <v>49</v>
      </c>
      <c r="M1769">
        <v>49</v>
      </c>
      <c r="N1769">
        <v>0</v>
      </c>
      <c r="O1769" s="1">
        <v>45582.549745370372</v>
      </c>
      <c r="P1769" t="s">
        <v>122</v>
      </c>
    </row>
    <row r="1770" spans="1:16" x14ac:dyDescent="0.3">
      <c r="A1770" t="s">
        <v>25</v>
      </c>
      <c r="B1770" s="1">
        <v>45582.549479166664</v>
      </c>
      <c r="C1770" t="str">
        <f>"38"</f>
        <v>38</v>
      </c>
      <c r="D1770" t="s">
        <v>115</v>
      </c>
      <c r="E1770" t="s">
        <v>116</v>
      </c>
      <c r="F1770" t="s">
        <v>117</v>
      </c>
      <c r="H1770" t="s">
        <v>527</v>
      </c>
      <c r="L1770">
        <v>0</v>
      </c>
      <c r="M1770">
        <v>0</v>
      </c>
      <c r="N1770">
        <v>0</v>
      </c>
      <c r="O1770" s="1">
        <v>45582.549479166664</v>
      </c>
      <c r="P1770" t="s">
        <v>392</v>
      </c>
    </row>
    <row r="1771" spans="1:16" x14ac:dyDescent="0.3">
      <c r="A1771" t="s">
        <v>25</v>
      </c>
      <c r="B1771" s="1">
        <v>45582.549479166664</v>
      </c>
      <c r="C1771" t="str">
        <f t="shared" ref="C1771:C1777" si="346">"41"</f>
        <v>41</v>
      </c>
      <c r="D1771" t="s">
        <v>120</v>
      </c>
      <c r="E1771" t="s">
        <v>116</v>
      </c>
      <c r="F1771" t="s">
        <v>117</v>
      </c>
      <c r="H1771" t="s">
        <v>527</v>
      </c>
      <c r="I1771" t="str">
        <f>"101050002023075"</f>
        <v>101050002023075</v>
      </c>
      <c r="J1771" t="str">
        <f t="shared" ref="J1771:J1777" si="347">"515122"</f>
        <v>515122</v>
      </c>
      <c r="K1771" t="s">
        <v>4</v>
      </c>
      <c r="L1771">
        <v>49</v>
      </c>
      <c r="M1771">
        <v>49</v>
      </c>
      <c r="N1771">
        <v>0</v>
      </c>
      <c r="O1771" s="1">
        <v>45582.549479166664</v>
      </c>
      <c r="P1771" t="s">
        <v>392</v>
      </c>
    </row>
    <row r="1772" spans="1:16" x14ac:dyDescent="0.3">
      <c r="A1772" t="s">
        <v>25</v>
      </c>
      <c r="B1772" s="1">
        <v>45582.549479166664</v>
      </c>
      <c r="C1772" t="str">
        <f t="shared" si="346"/>
        <v>41</v>
      </c>
      <c r="D1772" t="s">
        <v>120</v>
      </c>
      <c r="E1772" t="s">
        <v>116</v>
      </c>
      <c r="F1772" t="s">
        <v>117</v>
      </c>
      <c r="H1772" t="s">
        <v>527</v>
      </c>
      <c r="I1772" t="str">
        <f>"101050002023326"</f>
        <v>101050002023326</v>
      </c>
      <c r="J1772" t="str">
        <f t="shared" si="347"/>
        <v>515122</v>
      </c>
      <c r="K1772" t="s">
        <v>4</v>
      </c>
      <c r="L1772">
        <v>49</v>
      </c>
      <c r="M1772">
        <v>49</v>
      </c>
      <c r="N1772">
        <v>0</v>
      </c>
      <c r="O1772" s="1">
        <v>45582.549479166664</v>
      </c>
      <c r="P1772" t="s">
        <v>392</v>
      </c>
    </row>
    <row r="1773" spans="1:16" x14ac:dyDescent="0.3">
      <c r="A1773" t="s">
        <v>25</v>
      </c>
      <c r="B1773" s="1">
        <v>45582.549479166664</v>
      </c>
      <c r="C1773" t="str">
        <f t="shared" si="346"/>
        <v>41</v>
      </c>
      <c r="D1773" t="s">
        <v>120</v>
      </c>
      <c r="E1773" t="s">
        <v>116</v>
      </c>
      <c r="F1773" t="s">
        <v>117</v>
      </c>
      <c r="H1773" t="s">
        <v>527</v>
      </c>
      <c r="I1773" t="str">
        <f>"101050002023323"</f>
        <v>101050002023323</v>
      </c>
      <c r="J1773" t="str">
        <f t="shared" si="347"/>
        <v>515122</v>
      </c>
      <c r="K1773" t="s">
        <v>4</v>
      </c>
      <c r="L1773">
        <v>49</v>
      </c>
      <c r="M1773">
        <v>49</v>
      </c>
      <c r="N1773">
        <v>0</v>
      </c>
      <c r="O1773" s="1">
        <v>45582.549479166664</v>
      </c>
      <c r="P1773" t="s">
        <v>392</v>
      </c>
    </row>
    <row r="1774" spans="1:16" x14ac:dyDescent="0.3">
      <c r="A1774" t="s">
        <v>25</v>
      </c>
      <c r="B1774" s="1">
        <v>45582.549479166664</v>
      </c>
      <c r="C1774" t="str">
        <f t="shared" si="346"/>
        <v>41</v>
      </c>
      <c r="D1774" t="s">
        <v>120</v>
      </c>
      <c r="E1774" t="s">
        <v>116</v>
      </c>
      <c r="F1774" t="s">
        <v>117</v>
      </c>
      <c r="H1774" t="s">
        <v>527</v>
      </c>
      <c r="I1774" t="str">
        <f>"101050002023328"</f>
        <v>101050002023328</v>
      </c>
      <c r="J1774" t="str">
        <f t="shared" si="347"/>
        <v>515122</v>
      </c>
      <c r="K1774" t="s">
        <v>4</v>
      </c>
      <c r="L1774">
        <v>49</v>
      </c>
      <c r="M1774">
        <v>49</v>
      </c>
      <c r="N1774">
        <v>0</v>
      </c>
      <c r="O1774" s="1">
        <v>45582.549479166664</v>
      </c>
      <c r="P1774" t="s">
        <v>392</v>
      </c>
    </row>
    <row r="1775" spans="1:16" x14ac:dyDescent="0.3">
      <c r="A1775" t="s">
        <v>25</v>
      </c>
      <c r="B1775" s="1">
        <v>45582.549479166664</v>
      </c>
      <c r="C1775" t="str">
        <f t="shared" si="346"/>
        <v>41</v>
      </c>
      <c r="D1775" t="s">
        <v>120</v>
      </c>
      <c r="E1775" t="s">
        <v>116</v>
      </c>
      <c r="F1775" t="s">
        <v>117</v>
      </c>
      <c r="H1775" t="s">
        <v>527</v>
      </c>
      <c r="I1775" t="str">
        <f>"101050002023076"</f>
        <v>101050002023076</v>
      </c>
      <c r="J1775" t="str">
        <f t="shared" si="347"/>
        <v>515122</v>
      </c>
      <c r="K1775" t="s">
        <v>4</v>
      </c>
      <c r="L1775">
        <v>49</v>
      </c>
      <c r="M1775">
        <v>49</v>
      </c>
      <c r="N1775">
        <v>0</v>
      </c>
      <c r="O1775" s="1">
        <v>45582.549479166664</v>
      </c>
      <c r="P1775" t="s">
        <v>392</v>
      </c>
    </row>
    <row r="1776" spans="1:16" x14ac:dyDescent="0.3">
      <c r="A1776" t="s">
        <v>25</v>
      </c>
      <c r="B1776" s="1">
        <v>45582.549467592595</v>
      </c>
      <c r="C1776" t="str">
        <f t="shared" si="346"/>
        <v>41</v>
      </c>
      <c r="D1776" t="s">
        <v>120</v>
      </c>
      <c r="E1776" t="s">
        <v>116</v>
      </c>
      <c r="F1776" t="s">
        <v>117</v>
      </c>
      <c r="H1776" t="s">
        <v>527</v>
      </c>
      <c r="I1776" t="str">
        <f>"101050002023077"</f>
        <v>101050002023077</v>
      </c>
      <c r="J1776" t="str">
        <f t="shared" si="347"/>
        <v>515122</v>
      </c>
      <c r="K1776" t="s">
        <v>4</v>
      </c>
      <c r="L1776">
        <v>49</v>
      </c>
      <c r="M1776">
        <v>49</v>
      </c>
      <c r="N1776">
        <v>0</v>
      </c>
      <c r="O1776" s="1">
        <v>45582.549467592595</v>
      </c>
      <c r="P1776" t="s">
        <v>392</v>
      </c>
    </row>
    <row r="1777" spans="1:16" x14ac:dyDescent="0.3">
      <c r="A1777" t="s">
        <v>25</v>
      </c>
      <c r="B1777" s="1">
        <v>45582.549467592595</v>
      </c>
      <c r="C1777" t="str">
        <f t="shared" si="346"/>
        <v>41</v>
      </c>
      <c r="D1777" t="s">
        <v>120</v>
      </c>
      <c r="E1777" t="s">
        <v>116</v>
      </c>
      <c r="F1777" t="s">
        <v>117</v>
      </c>
      <c r="H1777" t="s">
        <v>527</v>
      </c>
      <c r="I1777" t="str">
        <f>"101050002023119"</f>
        <v>101050002023119</v>
      </c>
      <c r="J1777" t="str">
        <f t="shared" si="347"/>
        <v>515122</v>
      </c>
      <c r="K1777" t="s">
        <v>4</v>
      </c>
      <c r="L1777">
        <v>49</v>
      </c>
      <c r="M1777">
        <v>49</v>
      </c>
      <c r="N1777">
        <v>0</v>
      </c>
      <c r="O1777" s="1">
        <v>45582.549467592595</v>
      </c>
      <c r="P1777" t="s">
        <v>392</v>
      </c>
    </row>
    <row r="1778" spans="1:16" x14ac:dyDescent="0.3">
      <c r="A1778" t="s">
        <v>25</v>
      </c>
      <c r="B1778" s="1">
        <v>45582.54755787037</v>
      </c>
      <c r="C1778" t="str">
        <f>"38"</f>
        <v>38</v>
      </c>
      <c r="D1778" t="s">
        <v>115</v>
      </c>
      <c r="E1778" t="s">
        <v>116</v>
      </c>
      <c r="F1778" t="s">
        <v>117</v>
      </c>
      <c r="H1778" t="s">
        <v>528</v>
      </c>
      <c r="L1778">
        <v>0</v>
      </c>
      <c r="M1778">
        <v>0</v>
      </c>
      <c r="N1778">
        <v>0</v>
      </c>
      <c r="O1778" s="1">
        <v>45582.54755787037</v>
      </c>
      <c r="P1778" t="s">
        <v>392</v>
      </c>
    </row>
    <row r="1779" spans="1:16" x14ac:dyDescent="0.3">
      <c r="A1779" t="s">
        <v>25</v>
      </c>
      <c r="B1779" s="1">
        <v>45582.54755787037</v>
      </c>
      <c r="C1779" t="str">
        <f t="shared" ref="C1779:C1785" si="348">"41"</f>
        <v>41</v>
      </c>
      <c r="D1779" t="s">
        <v>120</v>
      </c>
      <c r="E1779" t="s">
        <v>116</v>
      </c>
      <c r="F1779" t="s">
        <v>117</v>
      </c>
      <c r="H1779" t="s">
        <v>528</v>
      </c>
      <c r="I1779" t="str">
        <f>"101050002017179"</f>
        <v>101050002017179</v>
      </c>
      <c r="J1779" t="str">
        <f t="shared" ref="J1779:J1785" si="349">"515123"</f>
        <v>515123</v>
      </c>
      <c r="K1779" t="s">
        <v>19</v>
      </c>
      <c r="L1779">
        <v>49</v>
      </c>
      <c r="M1779">
        <v>49</v>
      </c>
      <c r="N1779">
        <v>0</v>
      </c>
      <c r="O1779" s="1">
        <v>45582.54755787037</v>
      </c>
      <c r="P1779" t="s">
        <v>392</v>
      </c>
    </row>
    <row r="1780" spans="1:16" x14ac:dyDescent="0.3">
      <c r="A1780" t="s">
        <v>25</v>
      </c>
      <c r="B1780" s="1">
        <v>45582.54755787037</v>
      </c>
      <c r="C1780" t="str">
        <f t="shared" si="348"/>
        <v>41</v>
      </c>
      <c r="D1780" t="s">
        <v>120</v>
      </c>
      <c r="E1780" t="s">
        <v>116</v>
      </c>
      <c r="F1780" t="s">
        <v>117</v>
      </c>
      <c r="H1780" t="s">
        <v>528</v>
      </c>
      <c r="I1780" t="str">
        <f>"101050002017922"</f>
        <v>101050002017922</v>
      </c>
      <c r="J1780" t="str">
        <f t="shared" si="349"/>
        <v>515123</v>
      </c>
      <c r="K1780" t="s">
        <v>19</v>
      </c>
      <c r="L1780">
        <v>49</v>
      </c>
      <c r="M1780">
        <v>49</v>
      </c>
      <c r="N1780">
        <v>0</v>
      </c>
      <c r="O1780" s="1">
        <v>45582.54755787037</v>
      </c>
      <c r="P1780" t="s">
        <v>392</v>
      </c>
    </row>
    <row r="1781" spans="1:16" x14ac:dyDescent="0.3">
      <c r="A1781" t="s">
        <v>25</v>
      </c>
      <c r="B1781" s="1">
        <v>45582.54755787037</v>
      </c>
      <c r="C1781" t="str">
        <f t="shared" si="348"/>
        <v>41</v>
      </c>
      <c r="D1781" t="s">
        <v>120</v>
      </c>
      <c r="E1781" t="s">
        <v>116</v>
      </c>
      <c r="F1781" t="s">
        <v>117</v>
      </c>
      <c r="H1781" t="s">
        <v>528</v>
      </c>
      <c r="I1781" t="str">
        <f>"101050002016566"</f>
        <v>101050002016566</v>
      </c>
      <c r="J1781" t="str">
        <f t="shared" si="349"/>
        <v>515123</v>
      </c>
      <c r="K1781" t="s">
        <v>19</v>
      </c>
      <c r="L1781">
        <v>49</v>
      </c>
      <c r="M1781">
        <v>49</v>
      </c>
      <c r="N1781">
        <v>0</v>
      </c>
      <c r="O1781" s="1">
        <v>45582.54755787037</v>
      </c>
      <c r="P1781" t="s">
        <v>392</v>
      </c>
    </row>
    <row r="1782" spans="1:16" x14ac:dyDescent="0.3">
      <c r="A1782" t="s">
        <v>25</v>
      </c>
      <c r="B1782" s="1">
        <v>45582.547546296293</v>
      </c>
      <c r="C1782" t="str">
        <f t="shared" si="348"/>
        <v>41</v>
      </c>
      <c r="D1782" t="s">
        <v>120</v>
      </c>
      <c r="E1782" t="s">
        <v>116</v>
      </c>
      <c r="F1782" t="s">
        <v>117</v>
      </c>
      <c r="H1782" t="s">
        <v>528</v>
      </c>
      <c r="I1782" t="str">
        <f>"101050002016676"</f>
        <v>101050002016676</v>
      </c>
      <c r="J1782" t="str">
        <f t="shared" si="349"/>
        <v>515123</v>
      </c>
      <c r="K1782" t="s">
        <v>19</v>
      </c>
      <c r="L1782">
        <v>49</v>
      </c>
      <c r="M1782">
        <v>49</v>
      </c>
      <c r="N1782">
        <v>0</v>
      </c>
      <c r="O1782" s="1">
        <v>45582.547546296293</v>
      </c>
      <c r="P1782" t="s">
        <v>392</v>
      </c>
    </row>
    <row r="1783" spans="1:16" x14ac:dyDescent="0.3">
      <c r="A1783" t="s">
        <v>25</v>
      </c>
      <c r="B1783" s="1">
        <v>45582.547546296293</v>
      </c>
      <c r="C1783" t="str">
        <f t="shared" si="348"/>
        <v>41</v>
      </c>
      <c r="D1783" t="s">
        <v>120</v>
      </c>
      <c r="E1783" t="s">
        <v>116</v>
      </c>
      <c r="F1783" t="s">
        <v>117</v>
      </c>
      <c r="H1783" t="s">
        <v>528</v>
      </c>
      <c r="I1783" t="str">
        <f>"101050002015929"</f>
        <v>101050002015929</v>
      </c>
      <c r="J1783" t="str">
        <f t="shared" si="349"/>
        <v>515123</v>
      </c>
      <c r="K1783" t="s">
        <v>19</v>
      </c>
      <c r="L1783">
        <v>49</v>
      </c>
      <c r="M1783">
        <v>49</v>
      </c>
      <c r="N1783">
        <v>0</v>
      </c>
      <c r="O1783" s="1">
        <v>45582.547546296293</v>
      </c>
      <c r="P1783" t="s">
        <v>392</v>
      </c>
    </row>
    <row r="1784" spans="1:16" x14ac:dyDescent="0.3">
      <c r="A1784" t="s">
        <v>25</v>
      </c>
      <c r="B1784" s="1">
        <v>45582.547546296293</v>
      </c>
      <c r="C1784" t="str">
        <f t="shared" si="348"/>
        <v>41</v>
      </c>
      <c r="D1784" t="s">
        <v>120</v>
      </c>
      <c r="E1784" t="s">
        <v>116</v>
      </c>
      <c r="F1784" t="s">
        <v>117</v>
      </c>
      <c r="H1784" t="s">
        <v>528</v>
      </c>
      <c r="I1784" t="str">
        <f>"101050002016162"</f>
        <v>101050002016162</v>
      </c>
      <c r="J1784" t="str">
        <f t="shared" si="349"/>
        <v>515123</v>
      </c>
      <c r="K1784" t="s">
        <v>19</v>
      </c>
      <c r="L1784">
        <v>49</v>
      </c>
      <c r="M1784">
        <v>49</v>
      </c>
      <c r="N1784">
        <v>0</v>
      </c>
      <c r="O1784" s="1">
        <v>45582.547546296293</v>
      </c>
      <c r="P1784" t="s">
        <v>392</v>
      </c>
    </row>
    <row r="1785" spans="1:16" x14ac:dyDescent="0.3">
      <c r="A1785" t="s">
        <v>25</v>
      </c>
      <c r="B1785" s="1">
        <v>45582.547546296293</v>
      </c>
      <c r="C1785" t="str">
        <f t="shared" si="348"/>
        <v>41</v>
      </c>
      <c r="D1785" t="s">
        <v>120</v>
      </c>
      <c r="E1785" t="s">
        <v>116</v>
      </c>
      <c r="F1785" t="s">
        <v>117</v>
      </c>
      <c r="H1785" t="s">
        <v>528</v>
      </c>
      <c r="I1785" t="str">
        <f>"101050002015083"</f>
        <v>101050002015083</v>
      </c>
      <c r="J1785" t="str">
        <f t="shared" si="349"/>
        <v>515123</v>
      </c>
      <c r="K1785" t="s">
        <v>19</v>
      </c>
      <c r="L1785">
        <v>49</v>
      </c>
      <c r="M1785">
        <v>49</v>
      </c>
      <c r="N1785">
        <v>0</v>
      </c>
      <c r="O1785" s="1">
        <v>45582.547546296293</v>
      </c>
      <c r="P1785" t="s">
        <v>392</v>
      </c>
    </row>
    <row r="1786" spans="1:16" x14ac:dyDescent="0.3">
      <c r="A1786" t="s">
        <v>25</v>
      </c>
      <c r="B1786" s="1">
        <v>45582.546886574077</v>
      </c>
      <c r="C1786" t="str">
        <f>"38"</f>
        <v>38</v>
      </c>
      <c r="D1786" t="s">
        <v>115</v>
      </c>
      <c r="E1786" t="s">
        <v>116</v>
      </c>
      <c r="F1786" t="s">
        <v>117</v>
      </c>
      <c r="H1786" t="s">
        <v>529</v>
      </c>
      <c r="L1786">
        <v>0</v>
      </c>
      <c r="M1786">
        <v>0</v>
      </c>
      <c r="N1786">
        <v>0</v>
      </c>
      <c r="O1786" s="1">
        <v>45582.546886574077</v>
      </c>
      <c r="P1786" t="s">
        <v>122</v>
      </c>
    </row>
    <row r="1787" spans="1:16" x14ac:dyDescent="0.3">
      <c r="A1787" t="s">
        <v>25</v>
      </c>
      <c r="B1787" s="1">
        <v>45582.546886574077</v>
      </c>
      <c r="C1787" t="str">
        <f t="shared" ref="C1787:C1793" si="350">"41"</f>
        <v>41</v>
      </c>
      <c r="D1787" t="s">
        <v>120</v>
      </c>
      <c r="E1787" t="s">
        <v>116</v>
      </c>
      <c r="F1787" t="s">
        <v>117</v>
      </c>
      <c r="H1787" t="s">
        <v>529</v>
      </c>
      <c r="I1787" t="str">
        <f>"101050002025354"</f>
        <v>101050002025354</v>
      </c>
      <c r="J1787" t="str">
        <f t="shared" ref="J1787:J1793" si="351">"515123"</f>
        <v>515123</v>
      </c>
      <c r="K1787" t="s">
        <v>19</v>
      </c>
      <c r="L1787">
        <v>49</v>
      </c>
      <c r="M1787">
        <v>49</v>
      </c>
      <c r="N1787">
        <v>0</v>
      </c>
      <c r="O1787" s="1">
        <v>45582.546886574077</v>
      </c>
      <c r="P1787" t="s">
        <v>122</v>
      </c>
    </row>
    <row r="1788" spans="1:16" x14ac:dyDescent="0.3">
      <c r="A1788" t="s">
        <v>25</v>
      </c>
      <c r="B1788" s="1">
        <v>45582.546886574077</v>
      </c>
      <c r="C1788" t="str">
        <f t="shared" si="350"/>
        <v>41</v>
      </c>
      <c r="D1788" t="s">
        <v>120</v>
      </c>
      <c r="E1788" t="s">
        <v>116</v>
      </c>
      <c r="F1788" t="s">
        <v>117</v>
      </c>
      <c r="H1788" t="s">
        <v>529</v>
      </c>
      <c r="I1788" t="str">
        <f>"101050002025353"</f>
        <v>101050002025353</v>
      </c>
      <c r="J1788" t="str">
        <f t="shared" si="351"/>
        <v>515123</v>
      </c>
      <c r="K1788" t="s">
        <v>19</v>
      </c>
      <c r="L1788">
        <v>49</v>
      </c>
      <c r="M1788">
        <v>49</v>
      </c>
      <c r="N1788">
        <v>0</v>
      </c>
      <c r="O1788" s="1">
        <v>45582.546886574077</v>
      </c>
      <c r="P1788" t="s">
        <v>122</v>
      </c>
    </row>
    <row r="1789" spans="1:16" x14ac:dyDescent="0.3">
      <c r="A1789" t="s">
        <v>25</v>
      </c>
      <c r="B1789" s="1">
        <v>45582.546886574077</v>
      </c>
      <c r="C1789" t="str">
        <f t="shared" si="350"/>
        <v>41</v>
      </c>
      <c r="D1789" t="s">
        <v>120</v>
      </c>
      <c r="E1789" t="s">
        <v>116</v>
      </c>
      <c r="F1789" t="s">
        <v>117</v>
      </c>
      <c r="H1789" t="s">
        <v>529</v>
      </c>
      <c r="I1789" t="str">
        <f>"101050002025133"</f>
        <v>101050002025133</v>
      </c>
      <c r="J1789" t="str">
        <f t="shared" si="351"/>
        <v>515123</v>
      </c>
      <c r="K1789" t="s">
        <v>19</v>
      </c>
      <c r="L1789">
        <v>49</v>
      </c>
      <c r="M1789">
        <v>49</v>
      </c>
      <c r="N1789">
        <v>0</v>
      </c>
      <c r="O1789" s="1">
        <v>45582.546886574077</v>
      </c>
      <c r="P1789" t="s">
        <v>122</v>
      </c>
    </row>
    <row r="1790" spans="1:16" x14ac:dyDescent="0.3">
      <c r="A1790" t="s">
        <v>25</v>
      </c>
      <c r="B1790" s="1">
        <v>45582.546886574077</v>
      </c>
      <c r="C1790" t="str">
        <f t="shared" si="350"/>
        <v>41</v>
      </c>
      <c r="D1790" t="s">
        <v>120</v>
      </c>
      <c r="E1790" t="s">
        <v>116</v>
      </c>
      <c r="F1790" t="s">
        <v>117</v>
      </c>
      <c r="H1790" t="s">
        <v>529</v>
      </c>
      <c r="I1790" t="str">
        <f>"101050002025351"</f>
        <v>101050002025351</v>
      </c>
      <c r="J1790" t="str">
        <f t="shared" si="351"/>
        <v>515123</v>
      </c>
      <c r="K1790" t="s">
        <v>19</v>
      </c>
      <c r="L1790">
        <v>49</v>
      </c>
      <c r="M1790">
        <v>49</v>
      </c>
      <c r="N1790">
        <v>0</v>
      </c>
      <c r="O1790" s="1">
        <v>45582.546886574077</v>
      </c>
      <c r="P1790" t="s">
        <v>122</v>
      </c>
    </row>
    <row r="1791" spans="1:16" x14ac:dyDescent="0.3">
      <c r="A1791" t="s">
        <v>25</v>
      </c>
      <c r="B1791" s="1">
        <v>45582.546886574077</v>
      </c>
      <c r="C1791" t="str">
        <f t="shared" si="350"/>
        <v>41</v>
      </c>
      <c r="D1791" t="s">
        <v>120</v>
      </c>
      <c r="E1791" t="s">
        <v>116</v>
      </c>
      <c r="F1791" t="s">
        <v>117</v>
      </c>
      <c r="H1791" t="s">
        <v>529</v>
      </c>
      <c r="I1791" t="str">
        <f>"101050002025227"</f>
        <v>101050002025227</v>
      </c>
      <c r="J1791" t="str">
        <f t="shared" si="351"/>
        <v>515123</v>
      </c>
      <c r="K1791" t="s">
        <v>19</v>
      </c>
      <c r="L1791">
        <v>49</v>
      </c>
      <c r="M1791">
        <v>49</v>
      </c>
      <c r="N1791">
        <v>0</v>
      </c>
      <c r="O1791" s="1">
        <v>45582.546886574077</v>
      </c>
      <c r="P1791" t="s">
        <v>122</v>
      </c>
    </row>
    <row r="1792" spans="1:16" x14ac:dyDescent="0.3">
      <c r="A1792" t="s">
        <v>25</v>
      </c>
      <c r="B1792" s="1">
        <v>45582.546886574077</v>
      </c>
      <c r="C1792" t="str">
        <f t="shared" si="350"/>
        <v>41</v>
      </c>
      <c r="D1792" t="s">
        <v>120</v>
      </c>
      <c r="E1792" t="s">
        <v>116</v>
      </c>
      <c r="F1792" t="s">
        <v>117</v>
      </c>
      <c r="H1792" t="s">
        <v>529</v>
      </c>
      <c r="I1792" t="str">
        <f>"101050002024588"</f>
        <v>101050002024588</v>
      </c>
      <c r="J1792" t="str">
        <f t="shared" si="351"/>
        <v>515123</v>
      </c>
      <c r="K1792" t="s">
        <v>19</v>
      </c>
      <c r="L1792">
        <v>49</v>
      </c>
      <c r="M1792">
        <v>49</v>
      </c>
      <c r="N1792">
        <v>0</v>
      </c>
      <c r="O1792" s="1">
        <v>45582.546886574077</v>
      </c>
      <c r="P1792" t="s">
        <v>122</v>
      </c>
    </row>
    <row r="1793" spans="1:16" x14ac:dyDescent="0.3">
      <c r="A1793" t="s">
        <v>25</v>
      </c>
      <c r="B1793" s="1">
        <v>45582.546886574077</v>
      </c>
      <c r="C1793" t="str">
        <f t="shared" si="350"/>
        <v>41</v>
      </c>
      <c r="D1793" t="s">
        <v>120</v>
      </c>
      <c r="E1793" t="s">
        <v>116</v>
      </c>
      <c r="F1793" t="s">
        <v>117</v>
      </c>
      <c r="H1793" t="s">
        <v>529</v>
      </c>
      <c r="I1793" t="str">
        <f>"101050002024586"</f>
        <v>101050002024586</v>
      </c>
      <c r="J1793" t="str">
        <f t="shared" si="351"/>
        <v>515123</v>
      </c>
      <c r="K1793" t="s">
        <v>19</v>
      </c>
      <c r="L1793">
        <v>49</v>
      </c>
      <c r="M1793">
        <v>49</v>
      </c>
      <c r="N1793">
        <v>0</v>
      </c>
      <c r="O1793" s="1">
        <v>45582.546886574077</v>
      </c>
      <c r="P1793" t="s">
        <v>122</v>
      </c>
    </row>
    <row r="1794" spans="1:16" x14ac:dyDescent="0.3">
      <c r="A1794" t="s">
        <v>25</v>
      </c>
      <c r="B1794" s="1">
        <v>45582.546435185184</v>
      </c>
      <c r="C1794" t="str">
        <f>"38"</f>
        <v>38</v>
      </c>
      <c r="D1794" t="s">
        <v>115</v>
      </c>
      <c r="E1794" t="s">
        <v>116</v>
      </c>
      <c r="F1794" t="s">
        <v>117</v>
      </c>
      <c r="H1794" t="s">
        <v>530</v>
      </c>
      <c r="L1794">
        <v>0</v>
      </c>
      <c r="M1794">
        <v>0</v>
      </c>
      <c r="N1794">
        <v>0</v>
      </c>
      <c r="O1794" s="1">
        <v>45582.546435185184</v>
      </c>
      <c r="P1794" t="s">
        <v>392</v>
      </c>
    </row>
    <row r="1795" spans="1:16" x14ac:dyDescent="0.3">
      <c r="A1795" t="s">
        <v>25</v>
      </c>
      <c r="B1795" s="1">
        <v>45582.546435185184</v>
      </c>
      <c r="C1795" t="str">
        <f>"41"</f>
        <v>41</v>
      </c>
      <c r="D1795" t="s">
        <v>120</v>
      </c>
      <c r="E1795" t="s">
        <v>116</v>
      </c>
      <c r="F1795" t="s">
        <v>117</v>
      </c>
      <c r="H1795" t="s">
        <v>530</v>
      </c>
      <c r="I1795" t="str">
        <f>"101050002020758"</f>
        <v>101050002020758</v>
      </c>
      <c r="J1795" t="str">
        <f>"515120"</f>
        <v>515120</v>
      </c>
      <c r="K1795" t="s">
        <v>2</v>
      </c>
      <c r="L1795">
        <v>49</v>
      </c>
      <c r="M1795">
        <v>49</v>
      </c>
      <c r="N1795">
        <v>0</v>
      </c>
      <c r="O1795" s="1">
        <v>45582.546435185184</v>
      </c>
      <c r="P1795" t="s">
        <v>392</v>
      </c>
    </row>
    <row r="1796" spans="1:16" x14ac:dyDescent="0.3">
      <c r="A1796" t="s">
        <v>25</v>
      </c>
      <c r="B1796" s="1">
        <v>45582.546435185184</v>
      </c>
      <c r="C1796" t="str">
        <f>"41"</f>
        <v>41</v>
      </c>
      <c r="D1796" t="s">
        <v>120</v>
      </c>
      <c r="E1796" t="s">
        <v>116</v>
      </c>
      <c r="F1796" t="s">
        <v>117</v>
      </c>
      <c r="H1796" t="s">
        <v>530</v>
      </c>
      <c r="I1796" t="str">
        <f>"101050002022520"</f>
        <v>101050002022520</v>
      </c>
      <c r="J1796" t="str">
        <f>"515120"</f>
        <v>515120</v>
      </c>
      <c r="K1796" t="s">
        <v>2</v>
      </c>
      <c r="L1796">
        <v>49</v>
      </c>
      <c r="M1796">
        <v>49</v>
      </c>
      <c r="N1796">
        <v>0</v>
      </c>
      <c r="O1796" s="1">
        <v>45582.546435185184</v>
      </c>
      <c r="P1796" t="s">
        <v>392</v>
      </c>
    </row>
    <row r="1797" spans="1:16" x14ac:dyDescent="0.3">
      <c r="A1797" t="s">
        <v>25</v>
      </c>
      <c r="B1797" s="1">
        <v>45582.547905092593</v>
      </c>
      <c r="C1797" t="str">
        <f>"38"</f>
        <v>38</v>
      </c>
      <c r="D1797" t="s">
        <v>115</v>
      </c>
      <c r="E1797" t="s">
        <v>116</v>
      </c>
      <c r="F1797" t="s">
        <v>117</v>
      </c>
      <c r="H1797" t="s">
        <v>531</v>
      </c>
      <c r="L1797">
        <v>0</v>
      </c>
      <c r="M1797">
        <v>0</v>
      </c>
      <c r="N1797">
        <v>0</v>
      </c>
      <c r="O1797" s="1">
        <v>45582.547905092593</v>
      </c>
      <c r="P1797" t="s">
        <v>125</v>
      </c>
    </row>
    <row r="1798" spans="1:16" x14ac:dyDescent="0.3">
      <c r="A1798" t="s">
        <v>25</v>
      </c>
      <c r="B1798" s="1">
        <v>45582.547905092593</v>
      </c>
      <c r="C1798" t="str">
        <f>"41"</f>
        <v>41</v>
      </c>
      <c r="D1798" t="s">
        <v>120</v>
      </c>
      <c r="E1798" t="s">
        <v>116</v>
      </c>
      <c r="F1798" t="s">
        <v>117</v>
      </c>
      <c r="H1798" t="s">
        <v>531</v>
      </c>
      <c r="I1798" t="str">
        <f>"101050002012530"</f>
        <v>101050002012530</v>
      </c>
      <c r="J1798" t="str">
        <f>"128028"</f>
        <v>128028</v>
      </c>
      <c r="K1798" t="s">
        <v>64</v>
      </c>
      <c r="L1798">
        <v>49</v>
      </c>
      <c r="M1798">
        <v>49</v>
      </c>
      <c r="N1798">
        <v>0</v>
      </c>
      <c r="O1798" s="1">
        <v>45582.547905092593</v>
      </c>
      <c r="P1798" t="s">
        <v>125</v>
      </c>
    </row>
    <row r="1799" spans="1:16" x14ac:dyDescent="0.3">
      <c r="A1799" t="s">
        <v>25</v>
      </c>
      <c r="B1799" s="1">
        <v>45582.547395833331</v>
      </c>
      <c r="C1799" t="str">
        <f>"38"</f>
        <v>38</v>
      </c>
      <c r="D1799" t="s">
        <v>115</v>
      </c>
      <c r="E1799" t="s">
        <v>116</v>
      </c>
      <c r="F1799" t="s">
        <v>117</v>
      </c>
      <c r="H1799" t="s">
        <v>532</v>
      </c>
      <c r="L1799">
        <v>0</v>
      </c>
      <c r="M1799">
        <v>0</v>
      </c>
      <c r="N1799">
        <v>0</v>
      </c>
      <c r="O1799" s="1">
        <v>45582.547395833331</v>
      </c>
      <c r="P1799" t="s">
        <v>125</v>
      </c>
    </row>
    <row r="1800" spans="1:16" x14ac:dyDescent="0.3">
      <c r="A1800" t="s">
        <v>25</v>
      </c>
      <c r="B1800" s="1">
        <v>45582.547395833331</v>
      </c>
      <c r="C1800" t="str">
        <f t="shared" ref="C1800:C1811" si="352">"41"</f>
        <v>41</v>
      </c>
      <c r="D1800" t="s">
        <v>120</v>
      </c>
      <c r="E1800" t="s">
        <v>116</v>
      </c>
      <c r="F1800" t="s">
        <v>117</v>
      </c>
      <c r="H1800" t="s">
        <v>532</v>
      </c>
      <c r="I1800" t="str">
        <f>"101050001990778"</f>
        <v>101050001990778</v>
      </c>
      <c r="J1800" t="str">
        <f t="shared" ref="J1800:J1806" si="353">"124239"</f>
        <v>124239</v>
      </c>
      <c r="K1800" t="s">
        <v>32</v>
      </c>
      <c r="L1800">
        <v>91</v>
      </c>
      <c r="M1800">
        <v>91</v>
      </c>
      <c r="N1800">
        <v>0</v>
      </c>
      <c r="O1800" s="1">
        <v>45582.547395833331</v>
      </c>
      <c r="P1800" t="s">
        <v>125</v>
      </c>
    </row>
    <row r="1801" spans="1:16" x14ac:dyDescent="0.3">
      <c r="A1801" t="s">
        <v>25</v>
      </c>
      <c r="B1801" s="1">
        <v>45582.547395833331</v>
      </c>
      <c r="C1801" t="str">
        <f t="shared" si="352"/>
        <v>41</v>
      </c>
      <c r="D1801" t="s">
        <v>120</v>
      </c>
      <c r="E1801" t="s">
        <v>116</v>
      </c>
      <c r="F1801" t="s">
        <v>117</v>
      </c>
      <c r="H1801" t="s">
        <v>532</v>
      </c>
      <c r="I1801" t="str">
        <f>"101050001990072"</f>
        <v>101050001990072</v>
      </c>
      <c r="J1801" t="str">
        <f t="shared" si="353"/>
        <v>124239</v>
      </c>
      <c r="K1801" t="s">
        <v>32</v>
      </c>
      <c r="L1801">
        <v>91</v>
      </c>
      <c r="M1801">
        <v>91</v>
      </c>
      <c r="N1801">
        <v>0</v>
      </c>
      <c r="O1801" s="1">
        <v>45582.547395833331</v>
      </c>
      <c r="P1801" t="s">
        <v>125</v>
      </c>
    </row>
    <row r="1802" spans="1:16" x14ac:dyDescent="0.3">
      <c r="A1802" t="s">
        <v>25</v>
      </c>
      <c r="B1802" s="1">
        <v>45582.547384259262</v>
      </c>
      <c r="C1802" t="str">
        <f t="shared" si="352"/>
        <v>41</v>
      </c>
      <c r="D1802" t="s">
        <v>120</v>
      </c>
      <c r="E1802" t="s">
        <v>116</v>
      </c>
      <c r="F1802" t="s">
        <v>117</v>
      </c>
      <c r="H1802" t="s">
        <v>532</v>
      </c>
      <c r="I1802" t="str">
        <f>"101050001990411"</f>
        <v>101050001990411</v>
      </c>
      <c r="J1802" t="str">
        <f t="shared" si="353"/>
        <v>124239</v>
      </c>
      <c r="K1802" t="s">
        <v>32</v>
      </c>
      <c r="L1802">
        <v>91</v>
      </c>
      <c r="M1802">
        <v>91</v>
      </c>
      <c r="N1802">
        <v>0</v>
      </c>
      <c r="O1802" s="1">
        <v>45582.547384259262</v>
      </c>
      <c r="P1802" t="s">
        <v>125</v>
      </c>
    </row>
    <row r="1803" spans="1:16" x14ac:dyDescent="0.3">
      <c r="A1803" t="s">
        <v>25</v>
      </c>
      <c r="B1803" s="1">
        <v>45582.547384259262</v>
      </c>
      <c r="C1803" t="str">
        <f t="shared" si="352"/>
        <v>41</v>
      </c>
      <c r="D1803" t="s">
        <v>120</v>
      </c>
      <c r="E1803" t="s">
        <v>116</v>
      </c>
      <c r="F1803" t="s">
        <v>117</v>
      </c>
      <c r="H1803" t="s">
        <v>532</v>
      </c>
      <c r="I1803" t="str">
        <f>"101050001990710"</f>
        <v>101050001990710</v>
      </c>
      <c r="J1803" t="str">
        <f t="shared" si="353"/>
        <v>124239</v>
      </c>
      <c r="K1803" t="s">
        <v>32</v>
      </c>
      <c r="L1803">
        <v>91</v>
      </c>
      <c r="M1803">
        <v>91</v>
      </c>
      <c r="N1803">
        <v>0</v>
      </c>
      <c r="O1803" s="1">
        <v>45582.547384259262</v>
      </c>
      <c r="P1803" t="s">
        <v>125</v>
      </c>
    </row>
    <row r="1804" spans="1:16" x14ac:dyDescent="0.3">
      <c r="A1804" t="s">
        <v>25</v>
      </c>
      <c r="B1804" s="1">
        <v>45582.547384259262</v>
      </c>
      <c r="C1804" t="str">
        <f t="shared" si="352"/>
        <v>41</v>
      </c>
      <c r="D1804" t="s">
        <v>120</v>
      </c>
      <c r="E1804" t="s">
        <v>116</v>
      </c>
      <c r="F1804" t="s">
        <v>117</v>
      </c>
      <c r="H1804" t="s">
        <v>532</v>
      </c>
      <c r="I1804" t="str">
        <f>"101050001990073"</f>
        <v>101050001990073</v>
      </c>
      <c r="J1804" t="str">
        <f t="shared" si="353"/>
        <v>124239</v>
      </c>
      <c r="K1804" t="s">
        <v>32</v>
      </c>
      <c r="L1804">
        <v>91</v>
      </c>
      <c r="M1804">
        <v>91</v>
      </c>
      <c r="N1804">
        <v>0</v>
      </c>
      <c r="O1804" s="1">
        <v>45582.547384259262</v>
      </c>
      <c r="P1804" t="s">
        <v>125</v>
      </c>
    </row>
    <row r="1805" spans="1:16" x14ac:dyDescent="0.3">
      <c r="A1805" t="s">
        <v>25</v>
      </c>
      <c r="B1805" s="1">
        <v>45582.547384259262</v>
      </c>
      <c r="C1805" t="str">
        <f t="shared" si="352"/>
        <v>41</v>
      </c>
      <c r="D1805" t="s">
        <v>120</v>
      </c>
      <c r="E1805" t="s">
        <v>116</v>
      </c>
      <c r="F1805" t="s">
        <v>117</v>
      </c>
      <c r="H1805" t="s">
        <v>532</v>
      </c>
      <c r="I1805" t="str">
        <f>"101050001990711"</f>
        <v>101050001990711</v>
      </c>
      <c r="J1805" t="str">
        <f t="shared" si="353"/>
        <v>124239</v>
      </c>
      <c r="K1805" t="s">
        <v>32</v>
      </c>
      <c r="L1805">
        <v>91</v>
      </c>
      <c r="M1805">
        <v>91</v>
      </c>
      <c r="N1805">
        <v>0</v>
      </c>
      <c r="O1805" s="1">
        <v>45582.547384259262</v>
      </c>
      <c r="P1805" t="s">
        <v>125</v>
      </c>
    </row>
    <row r="1806" spans="1:16" x14ac:dyDescent="0.3">
      <c r="A1806" t="s">
        <v>25</v>
      </c>
      <c r="B1806" s="1">
        <v>45582.547384259262</v>
      </c>
      <c r="C1806" t="str">
        <f t="shared" si="352"/>
        <v>41</v>
      </c>
      <c r="D1806" t="s">
        <v>120</v>
      </c>
      <c r="E1806" t="s">
        <v>116</v>
      </c>
      <c r="F1806" t="s">
        <v>117</v>
      </c>
      <c r="H1806" t="s">
        <v>532</v>
      </c>
      <c r="I1806" t="str">
        <f>"101050001990779"</f>
        <v>101050001990779</v>
      </c>
      <c r="J1806" t="str">
        <f t="shared" si="353"/>
        <v>124239</v>
      </c>
      <c r="K1806" t="s">
        <v>32</v>
      </c>
      <c r="L1806">
        <v>91</v>
      </c>
      <c r="M1806">
        <v>91</v>
      </c>
      <c r="N1806">
        <v>0</v>
      </c>
      <c r="O1806" s="1">
        <v>45582.547384259262</v>
      </c>
      <c r="P1806" t="s">
        <v>125</v>
      </c>
    </row>
    <row r="1807" spans="1:16" x14ac:dyDescent="0.3">
      <c r="A1807" t="s">
        <v>25</v>
      </c>
      <c r="B1807" s="1">
        <v>45582.546435185184</v>
      </c>
      <c r="C1807" t="str">
        <f t="shared" si="352"/>
        <v>41</v>
      </c>
      <c r="D1807" t="s">
        <v>120</v>
      </c>
      <c r="E1807" t="s">
        <v>116</v>
      </c>
      <c r="F1807" t="s">
        <v>117</v>
      </c>
      <c r="H1807" t="s">
        <v>530</v>
      </c>
      <c r="I1807" t="str">
        <f>"101050002022579"</f>
        <v>101050002022579</v>
      </c>
      <c r="J1807" t="str">
        <f>"515120"</f>
        <v>515120</v>
      </c>
      <c r="K1807" t="s">
        <v>2</v>
      </c>
      <c r="L1807">
        <v>49</v>
      </c>
      <c r="M1807">
        <v>49</v>
      </c>
      <c r="N1807">
        <v>0</v>
      </c>
      <c r="O1807" s="1">
        <v>45582.546435185184</v>
      </c>
      <c r="P1807" t="s">
        <v>392</v>
      </c>
    </row>
    <row r="1808" spans="1:16" x14ac:dyDescent="0.3">
      <c r="A1808" t="s">
        <v>25</v>
      </c>
      <c r="B1808" s="1">
        <v>45582.546435185184</v>
      </c>
      <c r="C1808" t="str">
        <f t="shared" si="352"/>
        <v>41</v>
      </c>
      <c r="D1808" t="s">
        <v>120</v>
      </c>
      <c r="E1808" t="s">
        <v>116</v>
      </c>
      <c r="F1808" t="s">
        <v>117</v>
      </c>
      <c r="H1808" t="s">
        <v>530</v>
      </c>
      <c r="I1808" t="str">
        <f>"101050002022596"</f>
        <v>101050002022596</v>
      </c>
      <c r="J1808" t="str">
        <f>"515120"</f>
        <v>515120</v>
      </c>
      <c r="K1808" t="s">
        <v>2</v>
      </c>
      <c r="L1808">
        <v>49</v>
      </c>
      <c r="M1808">
        <v>49</v>
      </c>
      <c r="N1808">
        <v>0</v>
      </c>
      <c r="O1808" s="1">
        <v>45582.546435185184</v>
      </c>
      <c r="P1808" t="s">
        <v>392</v>
      </c>
    </row>
    <row r="1809" spans="1:16" x14ac:dyDescent="0.3">
      <c r="A1809" t="s">
        <v>25</v>
      </c>
      <c r="B1809" s="1">
        <v>45582.546435185184</v>
      </c>
      <c r="C1809" t="str">
        <f t="shared" si="352"/>
        <v>41</v>
      </c>
      <c r="D1809" t="s">
        <v>120</v>
      </c>
      <c r="E1809" t="s">
        <v>116</v>
      </c>
      <c r="F1809" t="s">
        <v>117</v>
      </c>
      <c r="H1809" t="s">
        <v>530</v>
      </c>
      <c r="I1809" t="str">
        <f>"101050002022635"</f>
        <v>101050002022635</v>
      </c>
      <c r="J1809" t="str">
        <f>"515120"</f>
        <v>515120</v>
      </c>
      <c r="K1809" t="s">
        <v>2</v>
      </c>
      <c r="L1809">
        <v>49</v>
      </c>
      <c r="M1809">
        <v>49</v>
      </c>
      <c r="N1809">
        <v>0</v>
      </c>
      <c r="O1809" s="1">
        <v>45582.546435185184</v>
      </c>
      <c r="P1809" t="s">
        <v>392</v>
      </c>
    </row>
    <row r="1810" spans="1:16" x14ac:dyDescent="0.3">
      <c r="A1810" t="s">
        <v>25</v>
      </c>
      <c r="B1810" s="1">
        <v>45582.546435185184</v>
      </c>
      <c r="C1810" t="str">
        <f t="shared" si="352"/>
        <v>41</v>
      </c>
      <c r="D1810" t="s">
        <v>120</v>
      </c>
      <c r="E1810" t="s">
        <v>116</v>
      </c>
      <c r="F1810" t="s">
        <v>117</v>
      </c>
      <c r="H1810" t="s">
        <v>530</v>
      </c>
      <c r="I1810" t="str">
        <f>"101050002022580"</f>
        <v>101050002022580</v>
      </c>
      <c r="J1810" t="str">
        <f>"515120"</f>
        <v>515120</v>
      </c>
      <c r="K1810" t="s">
        <v>2</v>
      </c>
      <c r="L1810">
        <v>49</v>
      </c>
      <c r="M1810">
        <v>49</v>
      </c>
      <c r="N1810">
        <v>0</v>
      </c>
      <c r="O1810" s="1">
        <v>45582.546435185184</v>
      </c>
      <c r="P1810" t="s">
        <v>392</v>
      </c>
    </row>
    <row r="1811" spans="1:16" x14ac:dyDescent="0.3">
      <c r="A1811" t="s">
        <v>25</v>
      </c>
      <c r="B1811" s="1">
        <v>45582.546423611115</v>
      </c>
      <c r="C1811" t="str">
        <f t="shared" si="352"/>
        <v>41</v>
      </c>
      <c r="D1811" t="s">
        <v>120</v>
      </c>
      <c r="E1811" t="s">
        <v>116</v>
      </c>
      <c r="F1811" t="s">
        <v>117</v>
      </c>
      <c r="H1811" t="s">
        <v>530</v>
      </c>
      <c r="I1811" t="str">
        <f>"101050002022634"</f>
        <v>101050002022634</v>
      </c>
      <c r="J1811" t="str">
        <f>"515120"</f>
        <v>515120</v>
      </c>
      <c r="K1811" t="s">
        <v>2</v>
      </c>
      <c r="L1811">
        <v>49</v>
      </c>
      <c r="M1811">
        <v>49</v>
      </c>
      <c r="N1811">
        <v>0</v>
      </c>
      <c r="O1811" s="1">
        <v>45582.546423611115</v>
      </c>
      <c r="P1811" t="s">
        <v>392</v>
      </c>
    </row>
    <row r="1812" spans="1:16" x14ac:dyDescent="0.3">
      <c r="A1812" t="s">
        <v>25</v>
      </c>
      <c r="B1812" s="1">
        <v>45582.545729166668</v>
      </c>
      <c r="C1812" t="str">
        <f>"38"</f>
        <v>38</v>
      </c>
      <c r="D1812" t="s">
        <v>115</v>
      </c>
      <c r="E1812" t="s">
        <v>116</v>
      </c>
      <c r="F1812" t="s">
        <v>117</v>
      </c>
      <c r="H1812" t="s">
        <v>533</v>
      </c>
      <c r="L1812">
        <v>0</v>
      </c>
      <c r="M1812">
        <v>0</v>
      </c>
      <c r="N1812">
        <v>0</v>
      </c>
      <c r="O1812" s="1">
        <v>45582.545729166668</v>
      </c>
      <c r="P1812" t="s">
        <v>138</v>
      </c>
    </row>
    <row r="1813" spans="1:16" x14ac:dyDescent="0.3">
      <c r="A1813" t="s">
        <v>25</v>
      </c>
      <c r="B1813" s="1">
        <v>45582.545729166668</v>
      </c>
      <c r="C1813" t="str">
        <f t="shared" ref="C1813:C1819" si="354">"41"</f>
        <v>41</v>
      </c>
      <c r="D1813" t="s">
        <v>120</v>
      </c>
      <c r="E1813" t="s">
        <v>116</v>
      </c>
      <c r="F1813" t="s">
        <v>117</v>
      </c>
      <c r="H1813" t="s">
        <v>533</v>
      </c>
      <c r="I1813" t="str">
        <f>"101050002023552"</f>
        <v>101050002023552</v>
      </c>
      <c r="J1813" t="str">
        <f t="shared" ref="J1813:J1819" si="355">"514913"</f>
        <v>514913</v>
      </c>
      <c r="K1813" t="s">
        <v>93</v>
      </c>
      <c r="L1813">
        <v>91</v>
      </c>
      <c r="M1813">
        <v>91</v>
      </c>
      <c r="N1813">
        <v>0</v>
      </c>
      <c r="O1813" s="1">
        <v>45582.545729166668</v>
      </c>
      <c r="P1813" t="s">
        <v>138</v>
      </c>
    </row>
    <row r="1814" spans="1:16" x14ac:dyDescent="0.3">
      <c r="A1814" t="s">
        <v>25</v>
      </c>
      <c r="B1814" s="1">
        <v>45582.545729166668</v>
      </c>
      <c r="C1814" t="str">
        <f t="shared" si="354"/>
        <v>41</v>
      </c>
      <c r="D1814" t="s">
        <v>120</v>
      </c>
      <c r="E1814" t="s">
        <v>116</v>
      </c>
      <c r="F1814" t="s">
        <v>117</v>
      </c>
      <c r="H1814" t="s">
        <v>533</v>
      </c>
      <c r="I1814" t="str">
        <f>"101050002023394"</f>
        <v>101050002023394</v>
      </c>
      <c r="J1814" t="str">
        <f t="shared" si="355"/>
        <v>514913</v>
      </c>
      <c r="K1814" t="s">
        <v>93</v>
      </c>
      <c r="L1814">
        <v>91</v>
      </c>
      <c r="M1814">
        <v>91</v>
      </c>
      <c r="N1814">
        <v>0</v>
      </c>
      <c r="O1814" s="1">
        <v>45582.545729166668</v>
      </c>
      <c r="P1814" t="s">
        <v>138</v>
      </c>
    </row>
    <row r="1815" spans="1:16" x14ac:dyDescent="0.3">
      <c r="A1815" t="s">
        <v>25</v>
      </c>
      <c r="B1815" s="1">
        <v>45582.545717592591</v>
      </c>
      <c r="C1815" t="str">
        <f t="shared" si="354"/>
        <v>41</v>
      </c>
      <c r="D1815" t="s">
        <v>120</v>
      </c>
      <c r="E1815" t="s">
        <v>116</v>
      </c>
      <c r="F1815" t="s">
        <v>117</v>
      </c>
      <c r="H1815" t="s">
        <v>533</v>
      </c>
      <c r="I1815" t="str">
        <f>"101050002022873"</f>
        <v>101050002022873</v>
      </c>
      <c r="J1815" t="str">
        <f t="shared" si="355"/>
        <v>514913</v>
      </c>
      <c r="K1815" t="s">
        <v>93</v>
      </c>
      <c r="L1815">
        <v>91</v>
      </c>
      <c r="M1815">
        <v>91</v>
      </c>
      <c r="N1815">
        <v>0</v>
      </c>
      <c r="O1815" s="1">
        <v>45582.545717592591</v>
      </c>
      <c r="P1815" t="s">
        <v>138</v>
      </c>
    </row>
    <row r="1816" spans="1:16" x14ac:dyDescent="0.3">
      <c r="A1816" t="s">
        <v>25</v>
      </c>
      <c r="B1816" s="1">
        <v>45582.545717592591</v>
      </c>
      <c r="C1816" t="str">
        <f t="shared" si="354"/>
        <v>41</v>
      </c>
      <c r="D1816" t="s">
        <v>120</v>
      </c>
      <c r="E1816" t="s">
        <v>116</v>
      </c>
      <c r="F1816" t="s">
        <v>117</v>
      </c>
      <c r="H1816" t="s">
        <v>533</v>
      </c>
      <c r="I1816" t="str">
        <f>"101050002023686"</f>
        <v>101050002023686</v>
      </c>
      <c r="J1816" t="str">
        <f t="shared" si="355"/>
        <v>514913</v>
      </c>
      <c r="K1816" t="s">
        <v>93</v>
      </c>
      <c r="L1816">
        <v>91</v>
      </c>
      <c r="M1816">
        <v>91</v>
      </c>
      <c r="N1816">
        <v>0</v>
      </c>
      <c r="O1816" s="1">
        <v>45582.545717592591</v>
      </c>
      <c r="P1816" t="s">
        <v>138</v>
      </c>
    </row>
    <row r="1817" spans="1:16" x14ac:dyDescent="0.3">
      <c r="A1817" t="s">
        <v>25</v>
      </c>
      <c r="B1817" s="1">
        <v>45582.545717592591</v>
      </c>
      <c r="C1817" t="str">
        <f t="shared" si="354"/>
        <v>41</v>
      </c>
      <c r="D1817" t="s">
        <v>120</v>
      </c>
      <c r="E1817" t="s">
        <v>116</v>
      </c>
      <c r="F1817" t="s">
        <v>117</v>
      </c>
      <c r="H1817" t="s">
        <v>533</v>
      </c>
      <c r="I1817" t="str">
        <f>"101050002023685"</f>
        <v>101050002023685</v>
      </c>
      <c r="J1817" t="str">
        <f t="shared" si="355"/>
        <v>514913</v>
      </c>
      <c r="K1817" t="s">
        <v>93</v>
      </c>
      <c r="L1817">
        <v>91</v>
      </c>
      <c r="M1817">
        <v>91</v>
      </c>
      <c r="N1817">
        <v>0</v>
      </c>
      <c r="O1817" s="1">
        <v>45582.545717592591</v>
      </c>
      <c r="P1817" t="s">
        <v>138</v>
      </c>
    </row>
    <row r="1818" spans="1:16" x14ac:dyDescent="0.3">
      <c r="A1818" t="s">
        <v>25</v>
      </c>
      <c r="B1818" s="1">
        <v>45582.545717592591</v>
      </c>
      <c r="C1818" t="str">
        <f t="shared" si="354"/>
        <v>41</v>
      </c>
      <c r="D1818" t="s">
        <v>120</v>
      </c>
      <c r="E1818" t="s">
        <v>116</v>
      </c>
      <c r="F1818" t="s">
        <v>117</v>
      </c>
      <c r="H1818" t="s">
        <v>533</v>
      </c>
      <c r="I1818" t="str">
        <f>"101050002023683"</f>
        <v>101050002023683</v>
      </c>
      <c r="J1818" t="str">
        <f t="shared" si="355"/>
        <v>514913</v>
      </c>
      <c r="K1818" t="s">
        <v>93</v>
      </c>
      <c r="L1818">
        <v>91</v>
      </c>
      <c r="M1818">
        <v>91</v>
      </c>
      <c r="N1818">
        <v>0</v>
      </c>
      <c r="O1818" s="1">
        <v>45582.545717592591</v>
      </c>
      <c r="P1818" t="s">
        <v>138</v>
      </c>
    </row>
    <row r="1819" spans="1:16" x14ac:dyDescent="0.3">
      <c r="A1819" t="s">
        <v>25</v>
      </c>
      <c r="B1819" s="1">
        <v>45582.545717592591</v>
      </c>
      <c r="C1819" t="str">
        <f t="shared" si="354"/>
        <v>41</v>
      </c>
      <c r="D1819" t="s">
        <v>120</v>
      </c>
      <c r="E1819" t="s">
        <v>116</v>
      </c>
      <c r="F1819" t="s">
        <v>117</v>
      </c>
      <c r="H1819" t="s">
        <v>533</v>
      </c>
      <c r="I1819" t="str">
        <f>"101050002023395"</f>
        <v>101050002023395</v>
      </c>
      <c r="J1819" t="str">
        <f t="shared" si="355"/>
        <v>514913</v>
      </c>
      <c r="K1819" t="s">
        <v>93</v>
      </c>
      <c r="L1819">
        <v>91</v>
      </c>
      <c r="M1819">
        <v>91</v>
      </c>
      <c r="N1819">
        <v>0</v>
      </c>
      <c r="O1819" s="1">
        <v>45582.545717592591</v>
      </c>
      <c r="P1819" t="s">
        <v>138</v>
      </c>
    </row>
    <row r="1820" spans="1:16" x14ac:dyDescent="0.3">
      <c r="A1820" t="s">
        <v>25</v>
      </c>
      <c r="B1820" s="1">
        <v>45582.544918981483</v>
      </c>
      <c r="C1820" t="str">
        <f>"38"</f>
        <v>38</v>
      </c>
      <c r="D1820" t="s">
        <v>115</v>
      </c>
      <c r="E1820" t="s">
        <v>116</v>
      </c>
      <c r="F1820" t="s">
        <v>117</v>
      </c>
      <c r="H1820" t="s">
        <v>534</v>
      </c>
      <c r="L1820">
        <v>0</v>
      </c>
      <c r="M1820">
        <v>0</v>
      </c>
      <c r="N1820">
        <v>0</v>
      </c>
      <c r="O1820" s="1">
        <v>45582.544918981483</v>
      </c>
      <c r="P1820" t="s">
        <v>138</v>
      </c>
    </row>
    <row r="1821" spans="1:16" x14ac:dyDescent="0.3">
      <c r="A1821" t="s">
        <v>25</v>
      </c>
      <c r="B1821" s="1">
        <v>45582.544918981483</v>
      </c>
      <c r="C1821" t="str">
        <f t="shared" ref="C1821:C1827" si="356">"41"</f>
        <v>41</v>
      </c>
      <c r="D1821" t="s">
        <v>120</v>
      </c>
      <c r="E1821" t="s">
        <v>116</v>
      </c>
      <c r="F1821" t="s">
        <v>117</v>
      </c>
      <c r="H1821" t="s">
        <v>534</v>
      </c>
      <c r="I1821" t="str">
        <f>"101050002023114"</f>
        <v>101050002023114</v>
      </c>
      <c r="J1821" t="str">
        <f t="shared" ref="J1821:J1827" si="357">"127436"</f>
        <v>127436</v>
      </c>
      <c r="K1821" t="s">
        <v>59</v>
      </c>
      <c r="L1821">
        <v>91</v>
      </c>
      <c r="M1821">
        <v>91</v>
      </c>
      <c r="N1821">
        <v>0</v>
      </c>
      <c r="O1821" s="1">
        <v>45582.544918981483</v>
      </c>
      <c r="P1821" t="s">
        <v>138</v>
      </c>
    </row>
    <row r="1822" spans="1:16" x14ac:dyDescent="0.3">
      <c r="A1822" t="s">
        <v>25</v>
      </c>
      <c r="B1822" s="1">
        <v>45582.544918981483</v>
      </c>
      <c r="C1822" t="str">
        <f t="shared" si="356"/>
        <v>41</v>
      </c>
      <c r="D1822" t="s">
        <v>120</v>
      </c>
      <c r="E1822" t="s">
        <v>116</v>
      </c>
      <c r="F1822" t="s">
        <v>117</v>
      </c>
      <c r="H1822" t="s">
        <v>534</v>
      </c>
      <c r="I1822" t="str">
        <f>"101050002023879"</f>
        <v>101050002023879</v>
      </c>
      <c r="J1822" t="str">
        <f t="shared" si="357"/>
        <v>127436</v>
      </c>
      <c r="K1822" t="s">
        <v>59</v>
      </c>
      <c r="L1822">
        <v>91</v>
      </c>
      <c r="M1822">
        <v>91</v>
      </c>
      <c r="N1822">
        <v>0</v>
      </c>
      <c r="O1822" s="1">
        <v>45582.544918981483</v>
      </c>
      <c r="P1822" t="s">
        <v>138</v>
      </c>
    </row>
    <row r="1823" spans="1:16" x14ac:dyDescent="0.3">
      <c r="A1823" t="s">
        <v>25</v>
      </c>
      <c r="B1823" s="1">
        <v>45582.544918981483</v>
      </c>
      <c r="C1823" t="str">
        <f t="shared" si="356"/>
        <v>41</v>
      </c>
      <c r="D1823" t="s">
        <v>120</v>
      </c>
      <c r="E1823" t="s">
        <v>116</v>
      </c>
      <c r="F1823" t="s">
        <v>117</v>
      </c>
      <c r="H1823" t="s">
        <v>534</v>
      </c>
      <c r="I1823" t="str">
        <f>"101050002023880"</f>
        <v>101050002023880</v>
      </c>
      <c r="J1823" t="str">
        <f t="shared" si="357"/>
        <v>127436</v>
      </c>
      <c r="K1823" t="s">
        <v>59</v>
      </c>
      <c r="L1823">
        <v>91</v>
      </c>
      <c r="M1823">
        <v>91</v>
      </c>
      <c r="N1823">
        <v>0</v>
      </c>
      <c r="O1823" s="1">
        <v>45582.544918981483</v>
      </c>
      <c r="P1823" t="s">
        <v>138</v>
      </c>
    </row>
    <row r="1824" spans="1:16" x14ac:dyDescent="0.3">
      <c r="A1824" t="s">
        <v>25</v>
      </c>
      <c r="B1824" s="1">
        <v>45582.544918981483</v>
      </c>
      <c r="C1824" t="str">
        <f t="shared" si="356"/>
        <v>41</v>
      </c>
      <c r="D1824" t="s">
        <v>120</v>
      </c>
      <c r="E1824" t="s">
        <v>116</v>
      </c>
      <c r="F1824" t="s">
        <v>117</v>
      </c>
      <c r="H1824" t="s">
        <v>534</v>
      </c>
      <c r="I1824" t="str">
        <f>"101050002023940"</f>
        <v>101050002023940</v>
      </c>
      <c r="J1824" t="str">
        <f t="shared" si="357"/>
        <v>127436</v>
      </c>
      <c r="K1824" t="s">
        <v>59</v>
      </c>
      <c r="L1824">
        <v>91</v>
      </c>
      <c r="M1824">
        <v>91</v>
      </c>
      <c r="N1824">
        <v>0</v>
      </c>
      <c r="O1824" s="1">
        <v>45582.544918981483</v>
      </c>
      <c r="P1824" t="s">
        <v>138</v>
      </c>
    </row>
    <row r="1825" spans="1:16" x14ac:dyDescent="0.3">
      <c r="A1825" t="s">
        <v>25</v>
      </c>
      <c r="B1825" s="1">
        <v>45582.544918981483</v>
      </c>
      <c r="C1825" t="str">
        <f t="shared" si="356"/>
        <v>41</v>
      </c>
      <c r="D1825" t="s">
        <v>120</v>
      </c>
      <c r="E1825" t="s">
        <v>116</v>
      </c>
      <c r="F1825" t="s">
        <v>117</v>
      </c>
      <c r="H1825" t="s">
        <v>534</v>
      </c>
      <c r="I1825" t="str">
        <f>"101050002023707"</f>
        <v>101050002023707</v>
      </c>
      <c r="J1825" t="str">
        <f t="shared" si="357"/>
        <v>127436</v>
      </c>
      <c r="K1825" t="s">
        <v>59</v>
      </c>
      <c r="L1825">
        <v>91</v>
      </c>
      <c r="M1825">
        <v>91</v>
      </c>
      <c r="N1825">
        <v>0</v>
      </c>
      <c r="O1825" s="1">
        <v>45582.544918981483</v>
      </c>
      <c r="P1825" t="s">
        <v>138</v>
      </c>
    </row>
    <row r="1826" spans="1:16" x14ac:dyDescent="0.3">
      <c r="A1826" t="s">
        <v>25</v>
      </c>
      <c r="B1826" s="1">
        <v>45582.544918981483</v>
      </c>
      <c r="C1826" t="str">
        <f t="shared" si="356"/>
        <v>41</v>
      </c>
      <c r="D1826" t="s">
        <v>120</v>
      </c>
      <c r="E1826" t="s">
        <v>116</v>
      </c>
      <c r="F1826" t="s">
        <v>117</v>
      </c>
      <c r="H1826" t="s">
        <v>534</v>
      </c>
      <c r="I1826" t="str">
        <f>"101050002023705"</f>
        <v>101050002023705</v>
      </c>
      <c r="J1826" t="str">
        <f t="shared" si="357"/>
        <v>127436</v>
      </c>
      <c r="K1826" t="s">
        <v>59</v>
      </c>
      <c r="L1826">
        <v>91</v>
      </c>
      <c r="M1826">
        <v>91</v>
      </c>
      <c r="N1826">
        <v>0</v>
      </c>
      <c r="O1826" s="1">
        <v>45582.544918981483</v>
      </c>
      <c r="P1826" t="s">
        <v>138</v>
      </c>
    </row>
    <row r="1827" spans="1:16" x14ac:dyDescent="0.3">
      <c r="A1827" t="s">
        <v>25</v>
      </c>
      <c r="B1827" s="1">
        <v>45582.544907407406</v>
      </c>
      <c r="C1827" t="str">
        <f t="shared" si="356"/>
        <v>41</v>
      </c>
      <c r="D1827" t="s">
        <v>120</v>
      </c>
      <c r="E1827" t="s">
        <v>116</v>
      </c>
      <c r="F1827" t="s">
        <v>117</v>
      </c>
      <c r="H1827" t="s">
        <v>534</v>
      </c>
      <c r="I1827" t="str">
        <f>"101050002023942"</f>
        <v>101050002023942</v>
      </c>
      <c r="J1827" t="str">
        <f t="shared" si="357"/>
        <v>127436</v>
      </c>
      <c r="K1827" t="s">
        <v>59</v>
      </c>
      <c r="L1827">
        <v>91</v>
      </c>
      <c r="M1827">
        <v>91</v>
      </c>
      <c r="N1827">
        <v>0</v>
      </c>
      <c r="O1827" s="1">
        <v>45582.544907407406</v>
      </c>
      <c r="P1827" t="s">
        <v>138</v>
      </c>
    </row>
    <row r="1828" spans="1:16" x14ac:dyDescent="0.3">
      <c r="A1828" t="s">
        <v>25</v>
      </c>
      <c r="B1828" s="1">
        <v>45582.543599537035</v>
      </c>
      <c r="C1828" t="str">
        <f>"38"</f>
        <v>38</v>
      </c>
      <c r="D1828" t="s">
        <v>115</v>
      </c>
      <c r="E1828" t="s">
        <v>116</v>
      </c>
      <c r="F1828" t="s">
        <v>117</v>
      </c>
      <c r="H1828" t="s">
        <v>535</v>
      </c>
      <c r="L1828">
        <v>0</v>
      </c>
      <c r="M1828">
        <v>0</v>
      </c>
      <c r="N1828">
        <v>0</v>
      </c>
      <c r="O1828" s="1">
        <v>45582.543599537035</v>
      </c>
      <c r="P1828" t="s">
        <v>119</v>
      </c>
    </row>
    <row r="1829" spans="1:16" x14ac:dyDescent="0.3">
      <c r="A1829" t="s">
        <v>25</v>
      </c>
      <c r="B1829" s="1">
        <v>45582.543599537035</v>
      </c>
      <c r="C1829" t="str">
        <f t="shared" ref="C1829:C1835" si="358">"41"</f>
        <v>41</v>
      </c>
      <c r="D1829" t="s">
        <v>120</v>
      </c>
      <c r="E1829" t="s">
        <v>116</v>
      </c>
      <c r="F1829" t="s">
        <v>117</v>
      </c>
      <c r="H1829" t="s">
        <v>535</v>
      </c>
      <c r="I1829" t="str">
        <f>"101050002021943"</f>
        <v>101050002021943</v>
      </c>
      <c r="J1829" t="str">
        <f t="shared" ref="J1829:J1835" si="359">"515120"</f>
        <v>515120</v>
      </c>
      <c r="K1829" t="s">
        <v>2</v>
      </c>
      <c r="L1829">
        <v>49</v>
      </c>
      <c r="M1829">
        <v>49</v>
      </c>
      <c r="N1829">
        <v>0</v>
      </c>
      <c r="O1829" s="1">
        <v>45582.543599537035</v>
      </c>
      <c r="P1829" t="s">
        <v>119</v>
      </c>
    </row>
    <row r="1830" spans="1:16" x14ac:dyDescent="0.3">
      <c r="A1830" t="s">
        <v>25</v>
      </c>
      <c r="B1830" s="1">
        <v>45582.543599537035</v>
      </c>
      <c r="C1830" t="str">
        <f t="shared" si="358"/>
        <v>41</v>
      </c>
      <c r="D1830" t="s">
        <v>120</v>
      </c>
      <c r="E1830" t="s">
        <v>116</v>
      </c>
      <c r="F1830" t="s">
        <v>117</v>
      </c>
      <c r="H1830" t="s">
        <v>535</v>
      </c>
      <c r="I1830" t="str">
        <f>"101050002021946"</f>
        <v>101050002021946</v>
      </c>
      <c r="J1830" t="str">
        <f t="shared" si="359"/>
        <v>515120</v>
      </c>
      <c r="K1830" t="s">
        <v>2</v>
      </c>
      <c r="L1830">
        <v>49</v>
      </c>
      <c r="M1830">
        <v>49</v>
      </c>
      <c r="N1830">
        <v>0</v>
      </c>
      <c r="O1830" s="1">
        <v>45582.543599537035</v>
      </c>
      <c r="P1830" t="s">
        <v>119</v>
      </c>
    </row>
    <row r="1831" spans="1:16" x14ac:dyDescent="0.3">
      <c r="A1831" t="s">
        <v>25</v>
      </c>
      <c r="B1831" s="1">
        <v>45582.543587962966</v>
      </c>
      <c r="C1831" t="str">
        <f t="shared" si="358"/>
        <v>41</v>
      </c>
      <c r="D1831" t="s">
        <v>120</v>
      </c>
      <c r="E1831" t="s">
        <v>116</v>
      </c>
      <c r="F1831" t="s">
        <v>117</v>
      </c>
      <c r="H1831" t="s">
        <v>535</v>
      </c>
      <c r="I1831" t="str">
        <f>"101050002021965"</f>
        <v>101050002021965</v>
      </c>
      <c r="J1831" t="str">
        <f t="shared" si="359"/>
        <v>515120</v>
      </c>
      <c r="K1831" t="s">
        <v>2</v>
      </c>
      <c r="L1831">
        <v>49</v>
      </c>
      <c r="M1831">
        <v>49</v>
      </c>
      <c r="N1831">
        <v>0</v>
      </c>
      <c r="O1831" s="1">
        <v>45582.543587962966</v>
      </c>
      <c r="P1831" t="s">
        <v>119</v>
      </c>
    </row>
    <row r="1832" spans="1:16" x14ac:dyDescent="0.3">
      <c r="A1832" t="s">
        <v>25</v>
      </c>
      <c r="B1832" s="1">
        <v>45582.543587962966</v>
      </c>
      <c r="C1832" t="str">
        <f t="shared" si="358"/>
        <v>41</v>
      </c>
      <c r="D1832" t="s">
        <v>120</v>
      </c>
      <c r="E1832" t="s">
        <v>116</v>
      </c>
      <c r="F1832" t="s">
        <v>117</v>
      </c>
      <c r="H1832" t="s">
        <v>535</v>
      </c>
      <c r="I1832" t="str">
        <f>"101050002021723"</f>
        <v>101050002021723</v>
      </c>
      <c r="J1832" t="str">
        <f t="shared" si="359"/>
        <v>515120</v>
      </c>
      <c r="K1832" t="s">
        <v>2</v>
      </c>
      <c r="L1832">
        <v>49</v>
      </c>
      <c r="M1832">
        <v>49</v>
      </c>
      <c r="N1832">
        <v>0</v>
      </c>
      <c r="O1832" s="1">
        <v>45582.543587962966</v>
      </c>
      <c r="P1832" t="s">
        <v>119</v>
      </c>
    </row>
    <row r="1833" spans="1:16" x14ac:dyDescent="0.3">
      <c r="A1833" t="s">
        <v>25</v>
      </c>
      <c r="B1833" s="1">
        <v>45582.543587962966</v>
      </c>
      <c r="C1833" t="str">
        <f t="shared" si="358"/>
        <v>41</v>
      </c>
      <c r="D1833" t="s">
        <v>120</v>
      </c>
      <c r="E1833" t="s">
        <v>116</v>
      </c>
      <c r="F1833" t="s">
        <v>117</v>
      </c>
      <c r="H1833" t="s">
        <v>535</v>
      </c>
      <c r="I1833" t="str">
        <f>"101050002021966"</f>
        <v>101050002021966</v>
      </c>
      <c r="J1833" t="str">
        <f t="shared" si="359"/>
        <v>515120</v>
      </c>
      <c r="K1833" t="s">
        <v>2</v>
      </c>
      <c r="L1833">
        <v>49</v>
      </c>
      <c r="M1833">
        <v>49</v>
      </c>
      <c r="N1833">
        <v>0</v>
      </c>
      <c r="O1833" s="1">
        <v>45582.543587962966</v>
      </c>
      <c r="P1833" t="s">
        <v>119</v>
      </c>
    </row>
    <row r="1834" spans="1:16" x14ac:dyDescent="0.3">
      <c r="A1834" t="s">
        <v>25</v>
      </c>
      <c r="B1834" s="1">
        <v>45582.543587962966</v>
      </c>
      <c r="C1834" t="str">
        <f t="shared" si="358"/>
        <v>41</v>
      </c>
      <c r="D1834" t="s">
        <v>120</v>
      </c>
      <c r="E1834" t="s">
        <v>116</v>
      </c>
      <c r="F1834" t="s">
        <v>117</v>
      </c>
      <c r="H1834" t="s">
        <v>535</v>
      </c>
      <c r="I1834" t="str">
        <f>"101050002020152"</f>
        <v>101050002020152</v>
      </c>
      <c r="J1834" t="str">
        <f t="shared" si="359"/>
        <v>515120</v>
      </c>
      <c r="K1834" t="s">
        <v>2</v>
      </c>
      <c r="L1834">
        <v>49</v>
      </c>
      <c r="M1834">
        <v>49</v>
      </c>
      <c r="N1834">
        <v>0</v>
      </c>
      <c r="O1834" s="1">
        <v>45582.543587962966</v>
      </c>
      <c r="P1834" t="s">
        <v>119</v>
      </c>
    </row>
    <row r="1835" spans="1:16" x14ac:dyDescent="0.3">
      <c r="A1835" t="s">
        <v>25</v>
      </c>
      <c r="B1835" s="1">
        <v>45582.543587962966</v>
      </c>
      <c r="C1835" t="str">
        <f t="shared" si="358"/>
        <v>41</v>
      </c>
      <c r="D1835" t="s">
        <v>120</v>
      </c>
      <c r="E1835" t="s">
        <v>116</v>
      </c>
      <c r="F1835" t="s">
        <v>117</v>
      </c>
      <c r="H1835" t="s">
        <v>535</v>
      </c>
      <c r="I1835" t="str">
        <f>"101050002020584"</f>
        <v>101050002020584</v>
      </c>
      <c r="J1835" t="str">
        <f t="shared" si="359"/>
        <v>515120</v>
      </c>
      <c r="K1835" t="s">
        <v>2</v>
      </c>
      <c r="L1835">
        <v>49</v>
      </c>
      <c r="M1835">
        <v>49</v>
      </c>
      <c r="N1835">
        <v>0</v>
      </c>
      <c r="O1835" s="1">
        <v>45582.543587962966</v>
      </c>
      <c r="P1835" t="s">
        <v>119</v>
      </c>
    </row>
    <row r="1836" spans="1:16" x14ac:dyDescent="0.3">
      <c r="A1836" t="s">
        <v>25</v>
      </c>
      <c r="B1836" s="1">
        <v>45582.543437499997</v>
      </c>
      <c r="C1836" t="str">
        <f>"38"</f>
        <v>38</v>
      </c>
      <c r="D1836" t="s">
        <v>115</v>
      </c>
      <c r="E1836" t="s">
        <v>116</v>
      </c>
      <c r="F1836" t="s">
        <v>117</v>
      </c>
      <c r="H1836" t="s">
        <v>536</v>
      </c>
      <c r="L1836">
        <v>0</v>
      </c>
      <c r="M1836">
        <v>0</v>
      </c>
      <c r="N1836">
        <v>0</v>
      </c>
      <c r="O1836" s="1">
        <v>45582.543437499997</v>
      </c>
      <c r="P1836" t="s">
        <v>138</v>
      </c>
    </row>
    <row r="1837" spans="1:16" x14ac:dyDescent="0.3">
      <c r="A1837" t="s">
        <v>25</v>
      </c>
      <c r="B1837" s="1">
        <v>45582.543437499997</v>
      </c>
      <c r="C1837" t="str">
        <f t="shared" ref="C1837:C1843" si="360">"41"</f>
        <v>41</v>
      </c>
      <c r="D1837" t="s">
        <v>120</v>
      </c>
      <c r="E1837" t="s">
        <v>116</v>
      </c>
      <c r="F1837" t="s">
        <v>117</v>
      </c>
      <c r="H1837" t="s">
        <v>536</v>
      </c>
      <c r="I1837" t="str">
        <f>"101050002025684"</f>
        <v>101050002025684</v>
      </c>
      <c r="J1837" t="str">
        <f t="shared" ref="J1837:J1843" si="361">"515122"</f>
        <v>515122</v>
      </c>
      <c r="K1837" t="s">
        <v>4</v>
      </c>
      <c r="L1837">
        <v>49</v>
      </c>
      <c r="M1837">
        <v>49</v>
      </c>
      <c r="N1837">
        <v>0</v>
      </c>
      <c r="O1837" s="1">
        <v>45582.543437499997</v>
      </c>
      <c r="P1837" t="s">
        <v>138</v>
      </c>
    </row>
    <row r="1838" spans="1:16" x14ac:dyDescent="0.3">
      <c r="A1838" t="s">
        <v>25</v>
      </c>
      <c r="B1838" s="1">
        <v>45582.543437499997</v>
      </c>
      <c r="C1838" t="str">
        <f t="shared" si="360"/>
        <v>41</v>
      </c>
      <c r="D1838" t="s">
        <v>120</v>
      </c>
      <c r="E1838" t="s">
        <v>116</v>
      </c>
      <c r="F1838" t="s">
        <v>117</v>
      </c>
      <c r="H1838" t="s">
        <v>536</v>
      </c>
      <c r="I1838" t="str">
        <f>"101050002025682"</f>
        <v>101050002025682</v>
      </c>
      <c r="J1838" t="str">
        <f t="shared" si="361"/>
        <v>515122</v>
      </c>
      <c r="K1838" t="s">
        <v>4</v>
      </c>
      <c r="L1838">
        <v>49</v>
      </c>
      <c r="M1838">
        <v>49</v>
      </c>
      <c r="N1838">
        <v>0</v>
      </c>
      <c r="O1838" s="1">
        <v>45582.543437499997</v>
      </c>
      <c r="P1838" t="s">
        <v>138</v>
      </c>
    </row>
    <row r="1839" spans="1:16" x14ac:dyDescent="0.3">
      <c r="A1839" t="s">
        <v>25</v>
      </c>
      <c r="B1839" s="1">
        <v>45582.543425925927</v>
      </c>
      <c r="C1839" t="str">
        <f t="shared" si="360"/>
        <v>41</v>
      </c>
      <c r="D1839" t="s">
        <v>120</v>
      </c>
      <c r="E1839" t="s">
        <v>116</v>
      </c>
      <c r="F1839" t="s">
        <v>117</v>
      </c>
      <c r="H1839" t="s">
        <v>536</v>
      </c>
      <c r="I1839" t="str">
        <f>"101050002025681"</f>
        <v>101050002025681</v>
      </c>
      <c r="J1839" t="str">
        <f t="shared" si="361"/>
        <v>515122</v>
      </c>
      <c r="K1839" t="s">
        <v>4</v>
      </c>
      <c r="L1839">
        <v>49</v>
      </c>
      <c r="M1839">
        <v>49</v>
      </c>
      <c r="N1839">
        <v>0</v>
      </c>
      <c r="O1839" s="1">
        <v>45582.543425925927</v>
      </c>
      <c r="P1839" t="s">
        <v>138</v>
      </c>
    </row>
    <row r="1840" spans="1:16" x14ac:dyDescent="0.3">
      <c r="A1840" t="s">
        <v>25</v>
      </c>
      <c r="B1840" s="1">
        <v>45582.543425925927</v>
      </c>
      <c r="C1840" t="str">
        <f t="shared" si="360"/>
        <v>41</v>
      </c>
      <c r="D1840" t="s">
        <v>120</v>
      </c>
      <c r="E1840" t="s">
        <v>116</v>
      </c>
      <c r="F1840" t="s">
        <v>117</v>
      </c>
      <c r="H1840" t="s">
        <v>536</v>
      </c>
      <c r="I1840" t="str">
        <f>"101050002025194"</f>
        <v>101050002025194</v>
      </c>
      <c r="J1840" t="str">
        <f t="shared" si="361"/>
        <v>515122</v>
      </c>
      <c r="K1840" t="s">
        <v>4</v>
      </c>
      <c r="L1840">
        <v>49</v>
      </c>
      <c r="M1840">
        <v>49</v>
      </c>
      <c r="N1840">
        <v>0</v>
      </c>
      <c r="O1840" s="1">
        <v>45582.543425925927</v>
      </c>
      <c r="P1840" t="s">
        <v>138</v>
      </c>
    </row>
    <row r="1841" spans="1:16" x14ac:dyDescent="0.3">
      <c r="A1841" t="s">
        <v>25</v>
      </c>
      <c r="B1841" s="1">
        <v>45582.543425925927</v>
      </c>
      <c r="C1841" t="str">
        <f t="shared" si="360"/>
        <v>41</v>
      </c>
      <c r="D1841" t="s">
        <v>120</v>
      </c>
      <c r="E1841" t="s">
        <v>116</v>
      </c>
      <c r="F1841" t="s">
        <v>117</v>
      </c>
      <c r="H1841" t="s">
        <v>536</v>
      </c>
      <c r="I1841" t="str">
        <f>"101050002025192"</f>
        <v>101050002025192</v>
      </c>
      <c r="J1841" t="str">
        <f t="shared" si="361"/>
        <v>515122</v>
      </c>
      <c r="K1841" t="s">
        <v>4</v>
      </c>
      <c r="L1841">
        <v>49</v>
      </c>
      <c r="M1841">
        <v>49</v>
      </c>
      <c r="N1841">
        <v>0</v>
      </c>
      <c r="O1841" s="1">
        <v>45582.543425925927</v>
      </c>
      <c r="P1841" t="s">
        <v>138</v>
      </c>
    </row>
    <row r="1842" spans="1:16" x14ac:dyDescent="0.3">
      <c r="A1842" t="s">
        <v>25</v>
      </c>
      <c r="B1842" s="1">
        <v>45582.543425925927</v>
      </c>
      <c r="C1842" t="str">
        <f t="shared" si="360"/>
        <v>41</v>
      </c>
      <c r="D1842" t="s">
        <v>120</v>
      </c>
      <c r="E1842" t="s">
        <v>116</v>
      </c>
      <c r="F1842" t="s">
        <v>117</v>
      </c>
      <c r="H1842" t="s">
        <v>536</v>
      </c>
      <c r="I1842" t="str">
        <f>"101050002024629"</f>
        <v>101050002024629</v>
      </c>
      <c r="J1842" t="str">
        <f t="shared" si="361"/>
        <v>515122</v>
      </c>
      <c r="K1842" t="s">
        <v>4</v>
      </c>
      <c r="L1842">
        <v>49</v>
      </c>
      <c r="M1842">
        <v>49</v>
      </c>
      <c r="N1842">
        <v>0</v>
      </c>
      <c r="O1842" s="1">
        <v>45582.543425925927</v>
      </c>
      <c r="P1842" t="s">
        <v>138</v>
      </c>
    </row>
    <row r="1843" spans="1:16" x14ac:dyDescent="0.3">
      <c r="A1843" t="s">
        <v>25</v>
      </c>
      <c r="B1843" s="1">
        <v>45582.543425925927</v>
      </c>
      <c r="C1843" t="str">
        <f t="shared" si="360"/>
        <v>41</v>
      </c>
      <c r="D1843" t="s">
        <v>120</v>
      </c>
      <c r="E1843" t="s">
        <v>116</v>
      </c>
      <c r="F1843" t="s">
        <v>117</v>
      </c>
      <c r="H1843" t="s">
        <v>536</v>
      </c>
      <c r="I1843" t="str">
        <f>"101050002024623"</f>
        <v>101050002024623</v>
      </c>
      <c r="J1843" t="str">
        <f t="shared" si="361"/>
        <v>515122</v>
      </c>
      <c r="K1843" t="s">
        <v>4</v>
      </c>
      <c r="L1843">
        <v>49</v>
      </c>
      <c r="M1843">
        <v>49</v>
      </c>
      <c r="N1843">
        <v>0</v>
      </c>
      <c r="O1843" s="1">
        <v>45582.543425925927</v>
      </c>
      <c r="P1843" t="s">
        <v>138</v>
      </c>
    </row>
    <row r="1844" spans="1:16" x14ac:dyDescent="0.3">
      <c r="A1844" t="s">
        <v>25</v>
      </c>
      <c r="B1844" s="1">
        <v>45582.542407407411</v>
      </c>
      <c r="C1844" t="str">
        <f>"38"</f>
        <v>38</v>
      </c>
      <c r="D1844" t="s">
        <v>115</v>
      </c>
      <c r="E1844" t="s">
        <v>116</v>
      </c>
      <c r="F1844" t="s">
        <v>117</v>
      </c>
      <c r="H1844" t="s">
        <v>537</v>
      </c>
      <c r="L1844">
        <v>0</v>
      </c>
      <c r="M1844">
        <v>0</v>
      </c>
      <c r="N1844">
        <v>0</v>
      </c>
      <c r="O1844" s="1">
        <v>45582.542407407411</v>
      </c>
      <c r="P1844" t="s">
        <v>392</v>
      </c>
    </row>
    <row r="1845" spans="1:16" x14ac:dyDescent="0.3">
      <c r="A1845" t="s">
        <v>25</v>
      </c>
      <c r="B1845" s="1">
        <v>45582.542407407411</v>
      </c>
      <c r="C1845" t="str">
        <f t="shared" ref="C1845:C1851" si="362">"41"</f>
        <v>41</v>
      </c>
      <c r="D1845" t="s">
        <v>120</v>
      </c>
      <c r="E1845" t="s">
        <v>116</v>
      </c>
      <c r="F1845" t="s">
        <v>117</v>
      </c>
      <c r="H1845" t="s">
        <v>537</v>
      </c>
      <c r="I1845" t="str">
        <f>"101050002016954"</f>
        <v>101050002016954</v>
      </c>
      <c r="J1845" t="str">
        <f t="shared" ref="J1845:J1851" si="363">"127802"</f>
        <v>127802</v>
      </c>
      <c r="K1845" t="s">
        <v>6</v>
      </c>
      <c r="L1845">
        <v>91</v>
      </c>
      <c r="M1845">
        <v>91</v>
      </c>
      <c r="N1845">
        <v>0</v>
      </c>
      <c r="O1845" s="1">
        <v>45582.542407407411</v>
      </c>
      <c r="P1845" t="s">
        <v>392</v>
      </c>
    </row>
    <row r="1846" spans="1:16" x14ac:dyDescent="0.3">
      <c r="A1846" t="s">
        <v>25</v>
      </c>
      <c r="B1846" s="1">
        <v>45582.542395833334</v>
      </c>
      <c r="C1846" t="str">
        <f t="shared" si="362"/>
        <v>41</v>
      </c>
      <c r="D1846" t="s">
        <v>120</v>
      </c>
      <c r="E1846" t="s">
        <v>116</v>
      </c>
      <c r="F1846" t="s">
        <v>117</v>
      </c>
      <c r="H1846" t="s">
        <v>537</v>
      </c>
      <c r="I1846" t="str">
        <f>"101050002016802"</f>
        <v>101050002016802</v>
      </c>
      <c r="J1846" t="str">
        <f t="shared" si="363"/>
        <v>127802</v>
      </c>
      <c r="K1846" t="s">
        <v>6</v>
      </c>
      <c r="L1846">
        <v>91</v>
      </c>
      <c r="M1846">
        <v>91</v>
      </c>
      <c r="N1846">
        <v>0</v>
      </c>
      <c r="O1846" s="1">
        <v>45582.542395833334</v>
      </c>
      <c r="P1846" t="s">
        <v>392</v>
      </c>
    </row>
    <row r="1847" spans="1:16" x14ac:dyDescent="0.3">
      <c r="A1847" t="s">
        <v>25</v>
      </c>
      <c r="B1847" s="1">
        <v>45582.542395833334</v>
      </c>
      <c r="C1847" t="str">
        <f t="shared" si="362"/>
        <v>41</v>
      </c>
      <c r="D1847" t="s">
        <v>120</v>
      </c>
      <c r="E1847" t="s">
        <v>116</v>
      </c>
      <c r="F1847" t="s">
        <v>117</v>
      </c>
      <c r="H1847" t="s">
        <v>537</v>
      </c>
      <c r="I1847" t="str">
        <f>"101050002017142"</f>
        <v>101050002017142</v>
      </c>
      <c r="J1847" t="str">
        <f t="shared" si="363"/>
        <v>127802</v>
      </c>
      <c r="K1847" t="s">
        <v>6</v>
      </c>
      <c r="L1847">
        <v>91</v>
      </c>
      <c r="M1847">
        <v>91</v>
      </c>
      <c r="N1847">
        <v>0</v>
      </c>
      <c r="O1847" s="1">
        <v>45582.542395833334</v>
      </c>
      <c r="P1847" t="s">
        <v>392</v>
      </c>
    </row>
    <row r="1848" spans="1:16" x14ac:dyDescent="0.3">
      <c r="A1848" t="s">
        <v>25</v>
      </c>
      <c r="B1848" s="1">
        <v>45582.542395833334</v>
      </c>
      <c r="C1848" t="str">
        <f t="shared" si="362"/>
        <v>41</v>
      </c>
      <c r="D1848" t="s">
        <v>120</v>
      </c>
      <c r="E1848" t="s">
        <v>116</v>
      </c>
      <c r="F1848" t="s">
        <v>117</v>
      </c>
      <c r="H1848" t="s">
        <v>537</v>
      </c>
      <c r="I1848" t="str">
        <f>"101050002016955"</f>
        <v>101050002016955</v>
      </c>
      <c r="J1848" t="str">
        <f t="shared" si="363"/>
        <v>127802</v>
      </c>
      <c r="K1848" t="s">
        <v>6</v>
      </c>
      <c r="L1848">
        <v>91</v>
      </c>
      <c r="M1848">
        <v>91</v>
      </c>
      <c r="N1848">
        <v>0</v>
      </c>
      <c r="O1848" s="1">
        <v>45582.542395833334</v>
      </c>
      <c r="P1848" t="s">
        <v>392</v>
      </c>
    </row>
    <row r="1849" spans="1:16" x14ac:dyDescent="0.3">
      <c r="A1849" t="s">
        <v>25</v>
      </c>
      <c r="B1849" s="1">
        <v>45582.542395833334</v>
      </c>
      <c r="C1849" t="str">
        <f t="shared" si="362"/>
        <v>41</v>
      </c>
      <c r="D1849" t="s">
        <v>120</v>
      </c>
      <c r="E1849" t="s">
        <v>116</v>
      </c>
      <c r="F1849" t="s">
        <v>117</v>
      </c>
      <c r="H1849" t="s">
        <v>537</v>
      </c>
      <c r="I1849" t="str">
        <f>"101050002016857"</f>
        <v>101050002016857</v>
      </c>
      <c r="J1849" t="str">
        <f t="shared" si="363"/>
        <v>127802</v>
      </c>
      <c r="K1849" t="s">
        <v>6</v>
      </c>
      <c r="L1849">
        <v>91</v>
      </c>
      <c r="M1849">
        <v>91</v>
      </c>
      <c r="N1849">
        <v>0</v>
      </c>
      <c r="O1849" s="1">
        <v>45582.542395833334</v>
      </c>
      <c r="P1849" t="s">
        <v>392</v>
      </c>
    </row>
    <row r="1850" spans="1:16" x14ac:dyDescent="0.3">
      <c r="A1850" t="s">
        <v>25</v>
      </c>
      <c r="B1850" s="1">
        <v>45582.542395833334</v>
      </c>
      <c r="C1850" t="str">
        <f t="shared" si="362"/>
        <v>41</v>
      </c>
      <c r="D1850" t="s">
        <v>120</v>
      </c>
      <c r="E1850" t="s">
        <v>116</v>
      </c>
      <c r="F1850" t="s">
        <v>117</v>
      </c>
      <c r="H1850" t="s">
        <v>537</v>
      </c>
      <c r="I1850" t="str">
        <f>"101050002016584"</f>
        <v>101050002016584</v>
      </c>
      <c r="J1850" t="str">
        <f t="shared" si="363"/>
        <v>127802</v>
      </c>
      <c r="K1850" t="s">
        <v>6</v>
      </c>
      <c r="L1850">
        <v>91</v>
      </c>
      <c r="M1850">
        <v>91</v>
      </c>
      <c r="N1850">
        <v>0</v>
      </c>
      <c r="O1850" s="1">
        <v>45582.542395833334</v>
      </c>
      <c r="P1850" t="s">
        <v>392</v>
      </c>
    </row>
    <row r="1851" spans="1:16" x14ac:dyDescent="0.3">
      <c r="A1851" t="s">
        <v>25</v>
      </c>
      <c r="B1851" s="1">
        <v>45582.542395833334</v>
      </c>
      <c r="C1851" t="str">
        <f t="shared" si="362"/>
        <v>41</v>
      </c>
      <c r="D1851" t="s">
        <v>120</v>
      </c>
      <c r="E1851" t="s">
        <v>116</v>
      </c>
      <c r="F1851" t="s">
        <v>117</v>
      </c>
      <c r="H1851" t="s">
        <v>537</v>
      </c>
      <c r="I1851" t="str">
        <f>"101050002016855"</f>
        <v>101050002016855</v>
      </c>
      <c r="J1851" t="str">
        <f t="shared" si="363"/>
        <v>127802</v>
      </c>
      <c r="K1851" t="s">
        <v>6</v>
      </c>
      <c r="L1851">
        <v>91</v>
      </c>
      <c r="M1851">
        <v>91</v>
      </c>
      <c r="N1851">
        <v>0</v>
      </c>
      <c r="O1851" s="1">
        <v>45582.542395833334</v>
      </c>
      <c r="P1851" t="s">
        <v>392</v>
      </c>
    </row>
    <row r="1852" spans="1:16" x14ac:dyDescent="0.3">
      <c r="A1852" t="s">
        <v>25</v>
      </c>
      <c r="B1852" s="1">
        <v>45582.54184027778</v>
      </c>
      <c r="C1852" t="str">
        <f>"38"</f>
        <v>38</v>
      </c>
      <c r="D1852" t="s">
        <v>115</v>
      </c>
      <c r="E1852" t="s">
        <v>116</v>
      </c>
      <c r="F1852" t="s">
        <v>117</v>
      </c>
      <c r="H1852" t="s">
        <v>538</v>
      </c>
      <c r="L1852">
        <v>0</v>
      </c>
      <c r="M1852">
        <v>0</v>
      </c>
      <c r="N1852">
        <v>0</v>
      </c>
      <c r="O1852" s="1">
        <v>45582.54184027778</v>
      </c>
      <c r="P1852" t="s">
        <v>138</v>
      </c>
    </row>
    <row r="1853" spans="1:16" x14ac:dyDescent="0.3">
      <c r="A1853" t="s">
        <v>25</v>
      </c>
      <c r="B1853" s="1">
        <v>45582.541747685187</v>
      </c>
      <c r="C1853" t="str">
        <f>"38"</f>
        <v>38</v>
      </c>
      <c r="D1853" t="s">
        <v>115</v>
      </c>
      <c r="E1853" t="s">
        <v>116</v>
      </c>
      <c r="F1853" t="s">
        <v>117</v>
      </c>
      <c r="H1853" t="s">
        <v>539</v>
      </c>
      <c r="L1853">
        <v>0</v>
      </c>
      <c r="M1853">
        <v>0</v>
      </c>
      <c r="N1853">
        <v>0</v>
      </c>
      <c r="O1853" s="1">
        <v>45582.541747685187</v>
      </c>
      <c r="P1853" t="s">
        <v>138</v>
      </c>
    </row>
    <row r="1854" spans="1:16" x14ac:dyDescent="0.3">
      <c r="A1854" t="s">
        <v>25</v>
      </c>
      <c r="B1854" s="1">
        <v>45582.541747685187</v>
      </c>
      <c r="C1854" t="str">
        <f t="shared" ref="C1854:C1860" si="364">"41"</f>
        <v>41</v>
      </c>
      <c r="D1854" t="s">
        <v>120</v>
      </c>
      <c r="E1854" t="s">
        <v>116</v>
      </c>
      <c r="F1854" t="s">
        <v>117</v>
      </c>
      <c r="H1854" t="s">
        <v>539</v>
      </c>
      <c r="I1854" t="str">
        <f>"101050002023357"</f>
        <v>101050002023357</v>
      </c>
      <c r="J1854" t="str">
        <f t="shared" ref="J1854:J1860" si="365">"127571"</f>
        <v>127571</v>
      </c>
      <c r="K1854" t="s">
        <v>5</v>
      </c>
      <c r="L1854">
        <v>91</v>
      </c>
      <c r="M1854">
        <v>91</v>
      </c>
      <c r="N1854">
        <v>0</v>
      </c>
      <c r="O1854" s="1">
        <v>45582.541747685187</v>
      </c>
      <c r="P1854" t="s">
        <v>138</v>
      </c>
    </row>
    <row r="1855" spans="1:16" x14ac:dyDescent="0.3">
      <c r="A1855" t="s">
        <v>25</v>
      </c>
      <c r="B1855" s="1">
        <v>45582.541747685187</v>
      </c>
      <c r="C1855" t="str">
        <f t="shared" si="364"/>
        <v>41</v>
      </c>
      <c r="D1855" t="s">
        <v>120</v>
      </c>
      <c r="E1855" t="s">
        <v>116</v>
      </c>
      <c r="F1855" t="s">
        <v>117</v>
      </c>
      <c r="H1855" t="s">
        <v>539</v>
      </c>
      <c r="I1855" t="str">
        <f>"101050002025173"</f>
        <v>101050002025173</v>
      </c>
      <c r="J1855" t="str">
        <f t="shared" si="365"/>
        <v>127571</v>
      </c>
      <c r="K1855" t="s">
        <v>5</v>
      </c>
      <c r="L1855">
        <v>91</v>
      </c>
      <c r="M1855">
        <v>91</v>
      </c>
      <c r="N1855">
        <v>0</v>
      </c>
      <c r="O1855" s="1">
        <v>45582.541747685187</v>
      </c>
      <c r="P1855" t="s">
        <v>138</v>
      </c>
    </row>
    <row r="1856" spans="1:16" x14ac:dyDescent="0.3">
      <c r="A1856" t="s">
        <v>25</v>
      </c>
      <c r="B1856" s="1">
        <v>45582.541747685187</v>
      </c>
      <c r="C1856" t="str">
        <f t="shared" si="364"/>
        <v>41</v>
      </c>
      <c r="D1856" t="s">
        <v>120</v>
      </c>
      <c r="E1856" t="s">
        <v>116</v>
      </c>
      <c r="F1856" t="s">
        <v>117</v>
      </c>
      <c r="H1856" t="s">
        <v>539</v>
      </c>
      <c r="I1856" t="str">
        <f>"101050002025934"</f>
        <v>101050002025934</v>
      </c>
      <c r="J1856" t="str">
        <f t="shared" si="365"/>
        <v>127571</v>
      </c>
      <c r="K1856" t="s">
        <v>5</v>
      </c>
      <c r="L1856">
        <v>91</v>
      </c>
      <c r="M1856">
        <v>91</v>
      </c>
      <c r="N1856">
        <v>0</v>
      </c>
      <c r="O1856" s="1">
        <v>45582.541747685187</v>
      </c>
      <c r="P1856" t="s">
        <v>138</v>
      </c>
    </row>
    <row r="1857" spans="1:16" x14ac:dyDescent="0.3">
      <c r="A1857" t="s">
        <v>25</v>
      </c>
      <c r="B1857" s="1">
        <v>45582.54173611111</v>
      </c>
      <c r="C1857" t="str">
        <f t="shared" si="364"/>
        <v>41</v>
      </c>
      <c r="D1857" t="s">
        <v>120</v>
      </c>
      <c r="E1857" t="s">
        <v>116</v>
      </c>
      <c r="F1857" t="s">
        <v>117</v>
      </c>
      <c r="H1857" t="s">
        <v>539</v>
      </c>
      <c r="I1857" t="str">
        <f>"101050002023532"</f>
        <v>101050002023532</v>
      </c>
      <c r="J1857" t="str">
        <f t="shared" si="365"/>
        <v>127571</v>
      </c>
      <c r="K1857" t="s">
        <v>5</v>
      </c>
      <c r="L1857">
        <v>91</v>
      </c>
      <c r="M1857">
        <v>91</v>
      </c>
      <c r="N1857">
        <v>0</v>
      </c>
      <c r="O1857" s="1">
        <v>45582.54173611111</v>
      </c>
      <c r="P1857" t="s">
        <v>138</v>
      </c>
    </row>
    <row r="1858" spans="1:16" x14ac:dyDescent="0.3">
      <c r="A1858" t="s">
        <v>25</v>
      </c>
      <c r="B1858" s="1">
        <v>45582.54173611111</v>
      </c>
      <c r="C1858" t="str">
        <f t="shared" si="364"/>
        <v>41</v>
      </c>
      <c r="D1858" t="s">
        <v>120</v>
      </c>
      <c r="E1858" t="s">
        <v>116</v>
      </c>
      <c r="F1858" t="s">
        <v>117</v>
      </c>
      <c r="H1858" t="s">
        <v>539</v>
      </c>
      <c r="I1858" t="str">
        <f>"101050002023508"</f>
        <v>101050002023508</v>
      </c>
      <c r="J1858" t="str">
        <f t="shared" si="365"/>
        <v>127571</v>
      </c>
      <c r="K1858" t="s">
        <v>5</v>
      </c>
      <c r="L1858">
        <v>91</v>
      </c>
      <c r="M1858">
        <v>91</v>
      </c>
      <c r="N1858">
        <v>0</v>
      </c>
      <c r="O1858" s="1">
        <v>45582.54173611111</v>
      </c>
      <c r="P1858" t="s">
        <v>138</v>
      </c>
    </row>
    <row r="1859" spans="1:16" x14ac:dyDescent="0.3">
      <c r="A1859" t="s">
        <v>25</v>
      </c>
      <c r="B1859" s="1">
        <v>45582.54173611111</v>
      </c>
      <c r="C1859" t="str">
        <f t="shared" si="364"/>
        <v>41</v>
      </c>
      <c r="D1859" t="s">
        <v>120</v>
      </c>
      <c r="E1859" t="s">
        <v>116</v>
      </c>
      <c r="F1859" t="s">
        <v>117</v>
      </c>
      <c r="H1859" t="s">
        <v>539</v>
      </c>
      <c r="I1859" t="str">
        <f>"101050002023153"</f>
        <v>101050002023153</v>
      </c>
      <c r="J1859" t="str">
        <f t="shared" si="365"/>
        <v>127571</v>
      </c>
      <c r="K1859" t="s">
        <v>5</v>
      </c>
      <c r="L1859">
        <v>91</v>
      </c>
      <c r="M1859">
        <v>91</v>
      </c>
      <c r="N1859">
        <v>0</v>
      </c>
      <c r="O1859" s="1">
        <v>45582.54173611111</v>
      </c>
      <c r="P1859" t="s">
        <v>138</v>
      </c>
    </row>
    <row r="1860" spans="1:16" x14ac:dyDescent="0.3">
      <c r="A1860" t="s">
        <v>25</v>
      </c>
      <c r="B1860" s="1">
        <v>45582.54173611111</v>
      </c>
      <c r="C1860" t="str">
        <f t="shared" si="364"/>
        <v>41</v>
      </c>
      <c r="D1860" t="s">
        <v>120</v>
      </c>
      <c r="E1860" t="s">
        <v>116</v>
      </c>
      <c r="F1860" t="s">
        <v>117</v>
      </c>
      <c r="H1860" t="s">
        <v>539</v>
      </c>
      <c r="I1860" t="str">
        <f>"101050002022861"</f>
        <v>101050002022861</v>
      </c>
      <c r="J1860" t="str">
        <f t="shared" si="365"/>
        <v>127571</v>
      </c>
      <c r="K1860" t="s">
        <v>5</v>
      </c>
      <c r="L1860">
        <v>91</v>
      </c>
      <c r="M1860">
        <v>91</v>
      </c>
      <c r="N1860">
        <v>0</v>
      </c>
      <c r="O1860" s="1">
        <v>45582.54173611111</v>
      </c>
      <c r="P1860" t="s">
        <v>138</v>
      </c>
    </row>
    <row r="1861" spans="1:16" x14ac:dyDescent="0.3">
      <c r="A1861" t="s">
        <v>25</v>
      </c>
      <c r="B1861" s="1">
        <v>45582.54173611111</v>
      </c>
      <c r="C1861" t="str">
        <f>"38"</f>
        <v>38</v>
      </c>
      <c r="D1861" t="s">
        <v>115</v>
      </c>
      <c r="E1861" t="s">
        <v>116</v>
      </c>
      <c r="F1861" t="s">
        <v>117</v>
      </c>
      <c r="H1861" t="s">
        <v>397</v>
      </c>
      <c r="L1861">
        <v>0</v>
      </c>
      <c r="M1861">
        <v>0</v>
      </c>
      <c r="N1861">
        <v>0</v>
      </c>
      <c r="O1861" s="1">
        <v>45582.54173611111</v>
      </c>
      <c r="P1861" t="s">
        <v>392</v>
      </c>
    </row>
    <row r="1862" spans="1:16" x14ac:dyDescent="0.3">
      <c r="A1862" t="s">
        <v>25</v>
      </c>
      <c r="B1862" s="1">
        <v>45582.541724537034</v>
      </c>
      <c r="C1862" t="str">
        <f t="shared" ref="C1862:C1868" si="366">"41"</f>
        <v>41</v>
      </c>
      <c r="D1862" t="s">
        <v>120</v>
      </c>
      <c r="E1862" t="s">
        <v>116</v>
      </c>
      <c r="F1862" t="s">
        <v>117</v>
      </c>
      <c r="H1862" t="s">
        <v>397</v>
      </c>
      <c r="I1862" t="str">
        <f>"101050002024248"</f>
        <v>101050002024248</v>
      </c>
      <c r="J1862" t="str">
        <f t="shared" ref="J1862:J1868" si="367">"127575"</f>
        <v>127575</v>
      </c>
      <c r="K1862" t="s">
        <v>8</v>
      </c>
      <c r="L1862">
        <v>91</v>
      </c>
      <c r="M1862">
        <v>91</v>
      </c>
      <c r="N1862">
        <v>0</v>
      </c>
      <c r="O1862" s="1">
        <v>45582.541724537034</v>
      </c>
      <c r="P1862" t="s">
        <v>392</v>
      </c>
    </row>
    <row r="1863" spans="1:16" x14ac:dyDescent="0.3">
      <c r="A1863" t="s">
        <v>25</v>
      </c>
      <c r="B1863" s="1">
        <v>45582.541724537034</v>
      </c>
      <c r="C1863" t="str">
        <f t="shared" si="366"/>
        <v>41</v>
      </c>
      <c r="D1863" t="s">
        <v>120</v>
      </c>
      <c r="E1863" t="s">
        <v>116</v>
      </c>
      <c r="F1863" t="s">
        <v>117</v>
      </c>
      <c r="H1863" t="s">
        <v>397</v>
      </c>
      <c r="I1863" t="str">
        <f>"101050002024443"</f>
        <v>101050002024443</v>
      </c>
      <c r="J1863" t="str">
        <f t="shared" si="367"/>
        <v>127575</v>
      </c>
      <c r="K1863" t="s">
        <v>8</v>
      </c>
      <c r="L1863">
        <v>91</v>
      </c>
      <c r="M1863">
        <v>91</v>
      </c>
      <c r="N1863">
        <v>0</v>
      </c>
      <c r="O1863" s="1">
        <v>45582.541724537034</v>
      </c>
      <c r="P1863" t="s">
        <v>392</v>
      </c>
    </row>
    <row r="1864" spans="1:16" x14ac:dyDescent="0.3">
      <c r="A1864" t="s">
        <v>25</v>
      </c>
      <c r="B1864" s="1">
        <v>45582.541724537034</v>
      </c>
      <c r="C1864" t="str">
        <f t="shared" si="366"/>
        <v>41</v>
      </c>
      <c r="D1864" t="s">
        <v>120</v>
      </c>
      <c r="E1864" t="s">
        <v>116</v>
      </c>
      <c r="F1864" t="s">
        <v>117</v>
      </c>
      <c r="H1864" t="s">
        <v>397</v>
      </c>
      <c r="I1864" t="str">
        <f>"101050002024249"</f>
        <v>101050002024249</v>
      </c>
      <c r="J1864" t="str">
        <f t="shared" si="367"/>
        <v>127575</v>
      </c>
      <c r="K1864" t="s">
        <v>8</v>
      </c>
      <c r="L1864">
        <v>91</v>
      </c>
      <c r="M1864">
        <v>91</v>
      </c>
      <c r="N1864">
        <v>0</v>
      </c>
      <c r="O1864" s="1">
        <v>45582.541724537034</v>
      </c>
      <c r="P1864" t="s">
        <v>392</v>
      </c>
    </row>
    <row r="1865" spans="1:16" x14ac:dyDescent="0.3">
      <c r="A1865" t="s">
        <v>25</v>
      </c>
      <c r="B1865" s="1">
        <v>45582.541724537034</v>
      </c>
      <c r="C1865" t="str">
        <f t="shared" si="366"/>
        <v>41</v>
      </c>
      <c r="D1865" t="s">
        <v>120</v>
      </c>
      <c r="E1865" t="s">
        <v>116</v>
      </c>
      <c r="F1865" t="s">
        <v>117</v>
      </c>
      <c r="H1865" t="s">
        <v>397</v>
      </c>
      <c r="I1865" t="str">
        <f>"101050002024681"</f>
        <v>101050002024681</v>
      </c>
      <c r="J1865" t="str">
        <f t="shared" si="367"/>
        <v>127575</v>
      </c>
      <c r="K1865" t="s">
        <v>8</v>
      </c>
      <c r="L1865">
        <v>91</v>
      </c>
      <c r="M1865">
        <v>91</v>
      </c>
      <c r="N1865">
        <v>0</v>
      </c>
      <c r="O1865" s="1">
        <v>45582.541724537034</v>
      </c>
      <c r="P1865" t="s">
        <v>392</v>
      </c>
    </row>
    <row r="1866" spans="1:16" x14ac:dyDescent="0.3">
      <c r="A1866" t="s">
        <v>25</v>
      </c>
      <c r="B1866" s="1">
        <v>45582.541724537034</v>
      </c>
      <c r="C1866" t="str">
        <f t="shared" si="366"/>
        <v>41</v>
      </c>
      <c r="D1866" t="s">
        <v>120</v>
      </c>
      <c r="E1866" t="s">
        <v>116</v>
      </c>
      <c r="F1866" t="s">
        <v>117</v>
      </c>
      <c r="H1866" t="s">
        <v>397</v>
      </c>
      <c r="I1866" t="str">
        <f>"101050002023988"</f>
        <v>101050002023988</v>
      </c>
      <c r="J1866" t="str">
        <f t="shared" si="367"/>
        <v>127575</v>
      </c>
      <c r="K1866" t="s">
        <v>8</v>
      </c>
      <c r="L1866">
        <v>91</v>
      </c>
      <c r="M1866">
        <v>91</v>
      </c>
      <c r="N1866">
        <v>0</v>
      </c>
      <c r="O1866" s="1">
        <v>45582.541724537034</v>
      </c>
      <c r="P1866" t="s">
        <v>392</v>
      </c>
    </row>
    <row r="1867" spans="1:16" x14ac:dyDescent="0.3">
      <c r="A1867" t="s">
        <v>25</v>
      </c>
      <c r="B1867" s="1">
        <v>45582.541724537034</v>
      </c>
      <c r="C1867" t="str">
        <f t="shared" si="366"/>
        <v>41</v>
      </c>
      <c r="D1867" t="s">
        <v>120</v>
      </c>
      <c r="E1867" t="s">
        <v>116</v>
      </c>
      <c r="F1867" t="s">
        <v>117</v>
      </c>
      <c r="H1867" t="s">
        <v>397</v>
      </c>
      <c r="I1867" t="str">
        <f>"101050002023041"</f>
        <v>101050002023041</v>
      </c>
      <c r="J1867" t="str">
        <f t="shared" si="367"/>
        <v>127575</v>
      </c>
      <c r="K1867" t="s">
        <v>8</v>
      </c>
      <c r="L1867">
        <v>91</v>
      </c>
      <c r="M1867">
        <v>91</v>
      </c>
      <c r="N1867">
        <v>0</v>
      </c>
      <c r="O1867" s="1">
        <v>45582.541724537034</v>
      </c>
      <c r="P1867" t="s">
        <v>392</v>
      </c>
    </row>
    <row r="1868" spans="1:16" x14ac:dyDescent="0.3">
      <c r="A1868" t="s">
        <v>25</v>
      </c>
      <c r="B1868" s="1">
        <v>45582.541712962964</v>
      </c>
      <c r="C1868" t="str">
        <f t="shared" si="366"/>
        <v>41</v>
      </c>
      <c r="D1868" t="s">
        <v>120</v>
      </c>
      <c r="E1868" t="s">
        <v>116</v>
      </c>
      <c r="F1868" t="s">
        <v>117</v>
      </c>
      <c r="H1868" t="s">
        <v>397</v>
      </c>
      <c r="I1868" t="str">
        <f>"101050002023196"</f>
        <v>101050002023196</v>
      </c>
      <c r="J1868" t="str">
        <f t="shared" si="367"/>
        <v>127575</v>
      </c>
      <c r="K1868" t="s">
        <v>8</v>
      </c>
      <c r="L1868">
        <v>91</v>
      </c>
      <c r="M1868">
        <v>91</v>
      </c>
      <c r="N1868">
        <v>0</v>
      </c>
      <c r="O1868" s="1">
        <v>45582.541712962964</v>
      </c>
      <c r="P1868" t="s">
        <v>392</v>
      </c>
    </row>
    <row r="1869" spans="1:16" x14ac:dyDescent="0.3">
      <c r="A1869" t="s">
        <v>25</v>
      </c>
      <c r="B1869" s="1">
        <v>45582.541574074072</v>
      </c>
      <c r="C1869" t="str">
        <f t="shared" ref="C1869:C1876" si="368">"38"</f>
        <v>38</v>
      </c>
      <c r="D1869" t="s">
        <v>115</v>
      </c>
      <c r="E1869" t="s">
        <v>116</v>
      </c>
      <c r="F1869" t="s">
        <v>117</v>
      </c>
      <c r="H1869" t="s">
        <v>516</v>
      </c>
      <c r="L1869">
        <v>0</v>
      </c>
      <c r="M1869">
        <v>0</v>
      </c>
      <c r="N1869">
        <v>0</v>
      </c>
      <c r="O1869" s="1">
        <v>45582.541574074072</v>
      </c>
      <c r="P1869" t="s">
        <v>122</v>
      </c>
    </row>
    <row r="1870" spans="1:16" x14ac:dyDescent="0.3">
      <c r="A1870" t="s">
        <v>25</v>
      </c>
      <c r="B1870" s="1">
        <v>45582.540046296293</v>
      </c>
      <c r="C1870" t="str">
        <f t="shared" si="368"/>
        <v>38</v>
      </c>
      <c r="D1870" t="s">
        <v>115</v>
      </c>
      <c r="E1870" t="s">
        <v>116</v>
      </c>
      <c r="F1870" t="s">
        <v>117</v>
      </c>
      <c r="H1870" t="s">
        <v>540</v>
      </c>
      <c r="L1870">
        <v>0</v>
      </c>
      <c r="M1870">
        <v>0</v>
      </c>
      <c r="N1870">
        <v>0</v>
      </c>
      <c r="O1870" s="1">
        <v>45582.540046296293</v>
      </c>
      <c r="P1870" t="s">
        <v>122</v>
      </c>
    </row>
    <row r="1871" spans="1:16" x14ac:dyDescent="0.3">
      <c r="A1871" t="s">
        <v>25</v>
      </c>
      <c r="B1871" s="1">
        <v>45582.519687499997</v>
      </c>
      <c r="C1871" t="str">
        <f t="shared" si="368"/>
        <v>38</v>
      </c>
      <c r="D1871" t="s">
        <v>115</v>
      </c>
      <c r="E1871" t="s">
        <v>116</v>
      </c>
      <c r="F1871" t="s">
        <v>117</v>
      </c>
      <c r="H1871" t="s">
        <v>541</v>
      </c>
      <c r="L1871">
        <v>0</v>
      </c>
      <c r="M1871">
        <v>0</v>
      </c>
      <c r="N1871">
        <v>0</v>
      </c>
      <c r="O1871" s="1">
        <v>45582.519687499997</v>
      </c>
      <c r="P1871" t="s">
        <v>122</v>
      </c>
    </row>
    <row r="1872" spans="1:16" x14ac:dyDescent="0.3">
      <c r="A1872" t="s">
        <v>25</v>
      </c>
      <c r="B1872" s="1">
        <v>45582.519502314812</v>
      </c>
      <c r="C1872" t="str">
        <f t="shared" si="368"/>
        <v>38</v>
      </c>
      <c r="D1872" t="s">
        <v>115</v>
      </c>
      <c r="E1872" t="s">
        <v>116</v>
      </c>
      <c r="F1872" t="s">
        <v>117</v>
      </c>
      <c r="H1872" t="s">
        <v>542</v>
      </c>
      <c r="L1872">
        <v>0</v>
      </c>
      <c r="M1872">
        <v>0</v>
      </c>
      <c r="N1872">
        <v>0</v>
      </c>
      <c r="O1872" s="1">
        <v>45582.519502314812</v>
      </c>
      <c r="P1872" t="s">
        <v>122</v>
      </c>
    </row>
    <row r="1873" spans="1:16" x14ac:dyDescent="0.3">
      <c r="A1873" t="s">
        <v>25</v>
      </c>
      <c r="B1873" s="1">
        <v>45582.519236111111</v>
      </c>
      <c r="C1873" t="str">
        <f t="shared" si="368"/>
        <v>38</v>
      </c>
      <c r="D1873" t="s">
        <v>115</v>
      </c>
      <c r="E1873" t="s">
        <v>116</v>
      </c>
      <c r="F1873" t="s">
        <v>117</v>
      </c>
      <c r="H1873" t="s">
        <v>542</v>
      </c>
      <c r="L1873">
        <v>0</v>
      </c>
      <c r="M1873">
        <v>0</v>
      </c>
      <c r="N1873">
        <v>0</v>
      </c>
      <c r="O1873" s="1">
        <v>45582.519236111111</v>
      </c>
      <c r="P1873" t="s">
        <v>122</v>
      </c>
    </row>
    <row r="1874" spans="1:16" x14ac:dyDescent="0.3">
      <c r="A1874" t="s">
        <v>25</v>
      </c>
      <c r="B1874" s="1">
        <v>45582.519120370373</v>
      </c>
      <c r="C1874" t="str">
        <f t="shared" si="368"/>
        <v>38</v>
      </c>
      <c r="D1874" t="s">
        <v>115</v>
      </c>
      <c r="E1874" t="s">
        <v>116</v>
      </c>
      <c r="F1874" t="s">
        <v>117</v>
      </c>
      <c r="H1874" t="s">
        <v>543</v>
      </c>
      <c r="L1874">
        <v>0</v>
      </c>
      <c r="M1874">
        <v>0</v>
      </c>
      <c r="N1874">
        <v>0</v>
      </c>
      <c r="O1874" s="1">
        <v>45582.519120370373</v>
      </c>
      <c r="P1874" t="s">
        <v>122</v>
      </c>
    </row>
    <row r="1875" spans="1:16" x14ac:dyDescent="0.3">
      <c r="A1875" t="s">
        <v>25</v>
      </c>
      <c r="B1875" s="1">
        <v>45582.519050925926</v>
      </c>
      <c r="C1875" t="str">
        <f t="shared" si="368"/>
        <v>38</v>
      </c>
      <c r="D1875" t="s">
        <v>115</v>
      </c>
      <c r="E1875" t="s">
        <v>116</v>
      </c>
      <c r="F1875" t="s">
        <v>117</v>
      </c>
      <c r="H1875" t="s">
        <v>544</v>
      </c>
      <c r="L1875">
        <v>0</v>
      </c>
      <c r="M1875">
        <v>0</v>
      </c>
      <c r="N1875">
        <v>0</v>
      </c>
      <c r="O1875" s="1">
        <v>45582.519050925926</v>
      </c>
      <c r="P1875" t="s">
        <v>122</v>
      </c>
    </row>
    <row r="1876" spans="1:16" x14ac:dyDescent="0.3">
      <c r="A1876" t="s">
        <v>25</v>
      </c>
      <c r="B1876" s="1">
        <v>45582.518969907411</v>
      </c>
      <c r="C1876" t="str">
        <f t="shared" si="368"/>
        <v>38</v>
      </c>
      <c r="D1876" t="s">
        <v>115</v>
      </c>
      <c r="E1876" t="s">
        <v>116</v>
      </c>
      <c r="F1876" t="s">
        <v>117</v>
      </c>
      <c r="H1876" t="s">
        <v>545</v>
      </c>
      <c r="L1876">
        <v>0</v>
      </c>
      <c r="M1876">
        <v>0</v>
      </c>
      <c r="N1876">
        <v>0</v>
      </c>
      <c r="O1876" s="1">
        <v>45582.518969907411</v>
      </c>
      <c r="P1876" t="s">
        <v>122</v>
      </c>
    </row>
    <row r="1877" spans="1:16" x14ac:dyDescent="0.3">
      <c r="A1877" t="s">
        <v>25</v>
      </c>
      <c r="B1877" s="1">
        <v>45582.518969907411</v>
      </c>
      <c r="C1877" t="str">
        <f t="shared" ref="C1877:C1883" si="369">"41"</f>
        <v>41</v>
      </c>
      <c r="D1877" t="s">
        <v>120</v>
      </c>
      <c r="E1877" t="s">
        <v>116</v>
      </c>
      <c r="F1877" t="s">
        <v>117</v>
      </c>
      <c r="H1877" t="s">
        <v>545</v>
      </c>
      <c r="I1877" t="str">
        <f>"101620000471220"</f>
        <v>101620000471220</v>
      </c>
      <c r="J1877" t="str">
        <f t="shared" ref="J1877:J1883" si="370">"514867"</f>
        <v>514867</v>
      </c>
      <c r="K1877" t="s">
        <v>16</v>
      </c>
      <c r="L1877">
        <v>49</v>
      </c>
      <c r="M1877">
        <v>49</v>
      </c>
      <c r="N1877">
        <v>0</v>
      </c>
      <c r="O1877" s="1">
        <v>45582.518969907411</v>
      </c>
      <c r="P1877" t="s">
        <v>122</v>
      </c>
    </row>
    <row r="1878" spans="1:16" x14ac:dyDescent="0.3">
      <c r="A1878" t="s">
        <v>25</v>
      </c>
      <c r="B1878" s="1">
        <v>45582.518969907411</v>
      </c>
      <c r="C1878" t="str">
        <f t="shared" si="369"/>
        <v>41</v>
      </c>
      <c r="D1878" t="s">
        <v>120</v>
      </c>
      <c r="E1878" t="s">
        <v>116</v>
      </c>
      <c r="F1878" t="s">
        <v>117</v>
      </c>
      <c r="H1878" t="s">
        <v>545</v>
      </c>
      <c r="I1878" t="str">
        <f>"101620000470815"</f>
        <v>101620000470815</v>
      </c>
      <c r="J1878" t="str">
        <f t="shared" si="370"/>
        <v>514867</v>
      </c>
      <c r="K1878" t="s">
        <v>16</v>
      </c>
      <c r="L1878">
        <v>49</v>
      </c>
      <c r="M1878">
        <v>49</v>
      </c>
      <c r="N1878">
        <v>0</v>
      </c>
      <c r="O1878" s="1">
        <v>45582.518969907411</v>
      </c>
      <c r="P1878" t="s">
        <v>122</v>
      </c>
    </row>
    <row r="1879" spans="1:16" x14ac:dyDescent="0.3">
      <c r="A1879" t="s">
        <v>25</v>
      </c>
      <c r="B1879" s="1">
        <v>45582.518969907411</v>
      </c>
      <c r="C1879" t="str">
        <f t="shared" si="369"/>
        <v>41</v>
      </c>
      <c r="D1879" t="s">
        <v>120</v>
      </c>
      <c r="E1879" t="s">
        <v>116</v>
      </c>
      <c r="F1879" t="s">
        <v>117</v>
      </c>
      <c r="H1879" t="s">
        <v>545</v>
      </c>
      <c r="I1879" t="str">
        <f>"101620000470813"</f>
        <v>101620000470813</v>
      </c>
      <c r="J1879" t="str">
        <f t="shared" si="370"/>
        <v>514867</v>
      </c>
      <c r="K1879" t="s">
        <v>16</v>
      </c>
      <c r="L1879">
        <v>49</v>
      </c>
      <c r="M1879">
        <v>49</v>
      </c>
      <c r="N1879">
        <v>0</v>
      </c>
      <c r="O1879" s="1">
        <v>45582.518969907411</v>
      </c>
      <c r="P1879" t="s">
        <v>122</v>
      </c>
    </row>
    <row r="1880" spans="1:16" x14ac:dyDescent="0.3">
      <c r="A1880" t="s">
        <v>25</v>
      </c>
      <c r="B1880" s="1">
        <v>45582.518958333334</v>
      </c>
      <c r="C1880" t="str">
        <f t="shared" si="369"/>
        <v>41</v>
      </c>
      <c r="D1880" t="s">
        <v>120</v>
      </c>
      <c r="E1880" t="s">
        <v>116</v>
      </c>
      <c r="F1880" t="s">
        <v>117</v>
      </c>
      <c r="H1880" t="s">
        <v>545</v>
      </c>
      <c r="I1880" t="str">
        <f>"101620000470811"</f>
        <v>101620000470811</v>
      </c>
      <c r="J1880" t="str">
        <f t="shared" si="370"/>
        <v>514867</v>
      </c>
      <c r="K1880" t="s">
        <v>16</v>
      </c>
      <c r="L1880">
        <v>49</v>
      </c>
      <c r="M1880">
        <v>49</v>
      </c>
      <c r="N1880">
        <v>0</v>
      </c>
      <c r="O1880" s="1">
        <v>45582.518958333334</v>
      </c>
      <c r="P1880" t="s">
        <v>122</v>
      </c>
    </row>
    <row r="1881" spans="1:16" x14ac:dyDescent="0.3">
      <c r="A1881" t="s">
        <v>25</v>
      </c>
      <c r="B1881" s="1">
        <v>45582.518958333334</v>
      </c>
      <c r="C1881" t="str">
        <f t="shared" si="369"/>
        <v>41</v>
      </c>
      <c r="D1881" t="s">
        <v>120</v>
      </c>
      <c r="E1881" t="s">
        <v>116</v>
      </c>
      <c r="F1881" t="s">
        <v>117</v>
      </c>
      <c r="H1881" t="s">
        <v>545</v>
      </c>
      <c r="I1881" t="str">
        <f>"101620000470712"</f>
        <v>101620000470712</v>
      </c>
      <c r="J1881" t="str">
        <f t="shared" si="370"/>
        <v>514867</v>
      </c>
      <c r="K1881" t="s">
        <v>16</v>
      </c>
      <c r="L1881">
        <v>49</v>
      </c>
      <c r="M1881">
        <v>49</v>
      </c>
      <c r="N1881">
        <v>0</v>
      </c>
      <c r="O1881" s="1">
        <v>45582.518958333334</v>
      </c>
      <c r="P1881" t="s">
        <v>122</v>
      </c>
    </row>
    <row r="1882" spans="1:16" x14ac:dyDescent="0.3">
      <c r="A1882" t="s">
        <v>25</v>
      </c>
      <c r="B1882" s="1">
        <v>45582.518958333334</v>
      </c>
      <c r="C1882" t="str">
        <f t="shared" si="369"/>
        <v>41</v>
      </c>
      <c r="D1882" t="s">
        <v>120</v>
      </c>
      <c r="E1882" t="s">
        <v>116</v>
      </c>
      <c r="F1882" t="s">
        <v>117</v>
      </c>
      <c r="H1882" t="s">
        <v>545</v>
      </c>
      <c r="I1882" t="str">
        <f>"101620000470710"</f>
        <v>101620000470710</v>
      </c>
      <c r="J1882" t="str">
        <f t="shared" si="370"/>
        <v>514867</v>
      </c>
      <c r="K1882" t="s">
        <v>16</v>
      </c>
      <c r="L1882">
        <v>49</v>
      </c>
      <c r="M1882">
        <v>49</v>
      </c>
      <c r="N1882">
        <v>0</v>
      </c>
      <c r="O1882" s="1">
        <v>45582.518958333334</v>
      </c>
      <c r="P1882" t="s">
        <v>122</v>
      </c>
    </row>
    <row r="1883" spans="1:16" x14ac:dyDescent="0.3">
      <c r="A1883" t="s">
        <v>25</v>
      </c>
      <c r="B1883" s="1">
        <v>45582.518958333334</v>
      </c>
      <c r="C1883" t="str">
        <f t="shared" si="369"/>
        <v>41</v>
      </c>
      <c r="D1883" t="s">
        <v>120</v>
      </c>
      <c r="E1883" t="s">
        <v>116</v>
      </c>
      <c r="F1883" t="s">
        <v>117</v>
      </c>
      <c r="H1883" t="s">
        <v>545</v>
      </c>
      <c r="I1883" t="str">
        <f>"101620000470716"</f>
        <v>101620000470716</v>
      </c>
      <c r="J1883" t="str">
        <f t="shared" si="370"/>
        <v>514867</v>
      </c>
      <c r="K1883" t="s">
        <v>16</v>
      </c>
      <c r="L1883">
        <v>49</v>
      </c>
      <c r="M1883">
        <v>49</v>
      </c>
      <c r="N1883">
        <v>0</v>
      </c>
      <c r="O1883" s="1">
        <v>45582.518958333334</v>
      </c>
      <c r="P1883" t="s">
        <v>122</v>
      </c>
    </row>
    <row r="1884" spans="1:16" x14ac:dyDescent="0.3">
      <c r="A1884" t="s">
        <v>25</v>
      </c>
      <c r="B1884" s="1">
        <v>45582.517928240741</v>
      </c>
      <c r="C1884" t="str">
        <f>"38"</f>
        <v>38</v>
      </c>
      <c r="D1884" t="s">
        <v>115</v>
      </c>
      <c r="E1884" t="s">
        <v>116</v>
      </c>
      <c r="F1884" t="s">
        <v>117</v>
      </c>
      <c r="H1884" t="s">
        <v>546</v>
      </c>
      <c r="L1884">
        <v>0</v>
      </c>
      <c r="M1884">
        <v>0</v>
      </c>
      <c r="N1884">
        <v>0</v>
      </c>
      <c r="O1884" s="1">
        <v>45582.517928240741</v>
      </c>
      <c r="P1884" t="s">
        <v>392</v>
      </c>
    </row>
    <row r="1885" spans="1:16" x14ac:dyDescent="0.3">
      <c r="A1885" t="s">
        <v>25</v>
      </c>
      <c r="B1885" s="1">
        <v>45582.517824074072</v>
      </c>
      <c r="C1885" t="str">
        <f>"38"</f>
        <v>38</v>
      </c>
      <c r="D1885" t="s">
        <v>115</v>
      </c>
      <c r="E1885" t="s">
        <v>116</v>
      </c>
      <c r="F1885" t="s">
        <v>117</v>
      </c>
      <c r="H1885" t="s">
        <v>547</v>
      </c>
      <c r="L1885">
        <v>0</v>
      </c>
      <c r="M1885">
        <v>0</v>
      </c>
      <c r="N1885">
        <v>0</v>
      </c>
      <c r="O1885" s="1">
        <v>45582.517824074072</v>
      </c>
      <c r="P1885" t="s">
        <v>122</v>
      </c>
    </row>
    <row r="1886" spans="1:16" x14ac:dyDescent="0.3">
      <c r="A1886" t="s">
        <v>25</v>
      </c>
      <c r="B1886" s="1">
        <v>45582.517824074072</v>
      </c>
      <c r="C1886" t="str">
        <f t="shared" ref="C1886:C1892" si="371">"41"</f>
        <v>41</v>
      </c>
      <c r="D1886" t="s">
        <v>120</v>
      </c>
      <c r="E1886" t="s">
        <v>116</v>
      </c>
      <c r="F1886" t="s">
        <v>117</v>
      </c>
      <c r="H1886" t="s">
        <v>547</v>
      </c>
      <c r="I1886" t="str">
        <f>"101050002023785"</f>
        <v>101050002023785</v>
      </c>
      <c r="J1886" t="str">
        <f t="shared" ref="J1886:J1892" si="372">"124824"</f>
        <v>124824</v>
      </c>
      <c r="K1886" t="s">
        <v>37</v>
      </c>
      <c r="L1886">
        <v>49</v>
      </c>
      <c r="M1886">
        <v>49</v>
      </c>
      <c r="N1886">
        <v>0</v>
      </c>
      <c r="O1886" s="1">
        <v>45582.517824074072</v>
      </c>
      <c r="P1886" t="s">
        <v>122</v>
      </c>
    </row>
    <row r="1887" spans="1:16" x14ac:dyDescent="0.3">
      <c r="A1887" t="s">
        <v>25</v>
      </c>
      <c r="B1887" s="1">
        <v>45582.517824074072</v>
      </c>
      <c r="C1887" t="str">
        <f t="shared" si="371"/>
        <v>41</v>
      </c>
      <c r="D1887" t="s">
        <v>120</v>
      </c>
      <c r="E1887" t="s">
        <v>116</v>
      </c>
      <c r="F1887" t="s">
        <v>117</v>
      </c>
      <c r="H1887" t="s">
        <v>547</v>
      </c>
      <c r="I1887" t="str">
        <f>"101050002023784"</f>
        <v>101050002023784</v>
      </c>
      <c r="J1887" t="str">
        <f t="shared" si="372"/>
        <v>124824</v>
      </c>
      <c r="K1887" t="s">
        <v>37</v>
      </c>
      <c r="L1887">
        <v>49</v>
      </c>
      <c r="M1887">
        <v>49</v>
      </c>
      <c r="N1887">
        <v>0</v>
      </c>
      <c r="O1887" s="1">
        <v>45582.517824074072</v>
      </c>
      <c r="P1887" t="s">
        <v>122</v>
      </c>
    </row>
    <row r="1888" spans="1:16" x14ac:dyDescent="0.3">
      <c r="A1888" t="s">
        <v>25</v>
      </c>
      <c r="B1888" s="1">
        <v>45582.517824074072</v>
      </c>
      <c r="C1888" t="str">
        <f t="shared" si="371"/>
        <v>41</v>
      </c>
      <c r="D1888" t="s">
        <v>120</v>
      </c>
      <c r="E1888" t="s">
        <v>116</v>
      </c>
      <c r="F1888" t="s">
        <v>117</v>
      </c>
      <c r="H1888" t="s">
        <v>547</v>
      </c>
      <c r="I1888" t="str">
        <f>"101050002023782"</f>
        <v>101050002023782</v>
      </c>
      <c r="J1888" t="str">
        <f t="shared" si="372"/>
        <v>124824</v>
      </c>
      <c r="K1888" t="s">
        <v>37</v>
      </c>
      <c r="L1888">
        <v>49</v>
      </c>
      <c r="M1888">
        <v>49</v>
      </c>
      <c r="N1888">
        <v>0</v>
      </c>
      <c r="O1888" s="1">
        <v>45582.517824074072</v>
      </c>
      <c r="P1888" t="s">
        <v>122</v>
      </c>
    </row>
    <row r="1889" spans="1:16" x14ac:dyDescent="0.3">
      <c r="A1889" t="s">
        <v>25</v>
      </c>
      <c r="B1889" s="1">
        <v>45582.517824074072</v>
      </c>
      <c r="C1889" t="str">
        <f t="shared" si="371"/>
        <v>41</v>
      </c>
      <c r="D1889" t="s">
        <v>120</v>
      </c>
      <c r="E1889" t="s">
        <v>116</v>
      </c>
      <c r="F1889" t="s">
        <v>117</v>
      </c>
      <c r="H1889" t="s">
        <v>547</v>
      </c>
      <c r="I1889" t="str">
        <f>"101050002023781"</f>
        <v>101050002023781</v>
      </c>
      <c r="J1889" t="str">
        <f t="shared" si="372"/>
        <v>124824</v>
      </c>
      <c r="K1889" t="s">
        <v>37</v>
      </c>
      <c r="L1889">
        <v>49</v>
      </c>
      <c r="M1889">
        <v>49</v>
      </c>
      <c r="N1889">
        <v>0</v>
      </c>
      <c r="O1889" s="1">
        <v>45582.517824074072</v>
      </c>
      <c r="P1889" t="s">
        <v>122</v>
      </c>
    </row>
    <row r="1890" spans="1:16" x14ac:dyDescent="0.3">
      <c r="A1890" t="s">
        <v>25</v>
      </c>
      <c r="B1890" s="1">
        <v>45582.517824074072</v>
      </c>
      <c r="C1890" t="str">
        <f t="shared" si="371"/>
        <v>41</v>
      </c>
      <c r="D1890" t="s">
        <v>120</v>
      </c>
      <c r="E1890" t="s">
        <v>116</v>
      </c>
      <c r="F1890" t="s">
        <v>117</v>
      </c>
      <c r="H1890" t="s">
        <v>547</v>
      </c>
      <c r="I1890" t="str">
        <f>"101050002023780"</f>
        <v>101050002023780</v>
      </c>
      <c r="J1890" t="str">
        <f t="shared" si="372"/>
        <v>124824</v>
      </c>
      <c r="K1890" t="s">
        <v>37</v>
      </c>
      <c r="L1890">
        <v>49</v>
      </c>
      <c r="M1890">
        <v>49</v>
      </c>
      <c r="N1890">
        <v>0</v>
      </c>
      <c r="O1890" s="1">
        <v>45582.517824074072</v>
      </c>
      <c r="P1890" t="s">
        <v>122</v>
      </c>
    </row>
    <row r="1891" spans="1:16" x14ac:dyDescent="0.3">
      <c r="A1891" t="s">
        <v>25</v>
      </c>
      <c r="B1891" s="1">
        <v>45582.517824074072</v>
      </c>
      <c r="C1891" t="str">
        <f t="shared" si="371"/>
        <v>41</v>
      </c>
      <c r="D1891" t="s">
        <v>120</v>
      </c>
      <c r="E1891" t="s">
        <v>116</v>
      </c>
      <c r="F1891" t="s">
        <v>117</v>
      </c>
      <c r="H1891" t="s">
        <v>547</v>
      </c>
      <c r="I1891" t="str">
        <f>"101050002023779"</f>
        <v>101050002023779</v>
      </c>
      <c r="J1891" t="str">
        <f t="shared" si="372"/>
        <v>124824</v>
      </c>
      <c r="K1891" t="s">
        <v>37</v>
      </c>
      <c r="L1891">
        <v>49</v>
      </c>
      <c r="M1891">
        <v>49</v>
      </c>
      <c r="N1891">
        <v>0</v>
      </c>
      <c r="O1891" s="1">
        <v>45582.517824074072</v>
      </c>
      <c r="P1891" t="s">
        <v>122</v>
      </c>
    </row>
    <row r="1892" spans="1:16" x14ac:dyDescent="0.3">
      <c r="A1892" t="s">
        <v>25</v>
      </c>
      <c r="B1892" s="1">
        <v>45582.517824074072</v>
      </c>
      <c r="C1892" t="str">
        <f t="shared" si="371"/>
        <v>41</v>
      </c>
      <c r="D1892" t="s">
        <v>120</v>
      </c>
      <c r="E1892" t="s">
        <v>116</v>
      </c>
      <c r="F1892" t="s">
        <v>117</v>
      </c>
      <c r="H1892" t="s">
        <v>547</v>
      </c>
      <c r="I1892" t="str">
        <f>"101050002021678"</f>
        <v>101050002021678</v>
      </c>
      <c r="J1892" t="str">
        <f t="shared" si="372"/>
        <v>124824</v>
      </c>
      <c r="K1892" t="s">
        <v>37</v>
      </c>
      <c r="L1892">
        <v>49</v>
      </c>
      <c r="M1892">
        <v>49</v>
      </c>
      <c r="N1892">
        <v>0</v>
      </c>
      <c r="O1892" s="1">
        <v>45582.517824074072</v>
      </c>
      <c r="P1892" t="s">
        <v>122</v>
      </c>
    </row>
    <row r="1893" spans="1:16" x14ac:dyDescent="0.3">
      <c r="A1893" t="s">
        <v>25</v>
      </c>
      <c r="B1893" s="1">
        <v>45582.517708333333</v>
      </c>
      <c r="C1893" t="str">
        <f t="shared" ref="C1893:C1900" si="373">"38"</f>
        <v>38</v>
      </c>
      <c r="D1893" t="s">
        <v>115</v>
      </c>
      <c r="E1893" t="s">
        <v>116</v>
      </c>
      <c r="F1893" t="s">
        <v>117</v>
      </c>
      <c r="H1893" t="s">
        <v>548</v>
      </c>
      <c r="L1893">
        <v>0</v>
      </c>
      <c r="M1893">
        <v>0</v>
      </c>
      <c r="N1893">
        <v>0</v>
      </c>
      <c r="O1893" s="1">
        <v>45582.517708333333</v>
      </c>
      <c r="P1893" t="s">
        <v>392</v>
      </c>
    </row>
    <row r="1894" spans="1:16" x14ac:dyDescent="0.3">
      <c r="A1894" t="s">
        <v>25</v>
      </c>
      <c r="B1894" s="1">
        <v>45582.51767361111</v>
      </c>
      <c r="C1894" t="str">
        <f t="shared" si="373"/>
        <v>38</v>
      </c>
      <c r="D1894" t="s">
        <v>115</v>
      </c>
      <c r="E1894" t="s">
        <v>116</v>
      </c>
      <c r="F1894" t="s">
        <v>117</v>
      </c>
      <c r="H1894" t="s">
        <v>549</v>
      </c>
      <c r="L1894">
        <v>0</v>
      </c>
      <c r="M1894">
        <v>0</v>
      </c>
      <c r="N1894">
        <v>0</v>
      </c>
      <c r="O1894" s="1">
        <v>45582.51767361111</v>
      </c>
      <c r="P1894" t="s">
        <v>392</v>
      </c>
    </row>
    <row r="1895" spans="1:16" x14ac:dyDescent="0.3">
      <c r="A1895" t="s">
        <v>25</v>
      </c>
      <c r="B1895" s="1">
        <v>45582.517638888887</v>
      </c>
      <c r="C1895" t="str">
        <f t="shared" si="373"/>
        <v>38</v>
      </c>
      <c r="D1895" t="s">
        <v>115</v>
      </c>
      <c r="E1895" t="s">
        <v>116</v>
      </c>
      <c r="F1895" t="s">
        <v>117</v>
      </c>
      <c r="H1895" t="s">
        <v>550</v>
      </c>
      <c r="L1895">
        <v>0</v>
      </c>
      <c r="M1895">
        <v>0</v>
      </c>
      <c r="N1895">
        <v>0</v>
      </c>
      <c r="O1895" s="1">
        <v>45582.517638888887</v>
      </c>
      <c r="P1895" t="s">
        <v>392</v>
      </c>
    </row>
    <row r="1896" spans="1:16" x14ac:dyDescent="0.3">
      <c r="A1896" t="s">
        <v>25</v>
      </c>
      <c r="B1896" s="1">
        <v>45582.517592592594</v>
      </c>
      <c r="C1896" t="str">
        <f t="shared" si="373"/>
        <v>38</v>
      </c>
      <c r="D1896" t="s">
        <v>115</v>
      </c>
      <c r="E1896" t="s">
        <v>116</v>
      </c>
      <c r="F1896" t="s">
        <v>117</v>
      </c>
      <c r="H1896" t="s">
        <v>551</v>
      </c>
      <c r="L1896">
        <v>0</v>
      </c>
      <c r="M1896">
        <v>0</v>
      </c>
      <c r="N1896">
        <v>0</v>
      </c>
      <c r="O1896" s="1">
        <v>45582.517592592594</v>
      </c>
      <c r="P1896" t="s">
        <v>392</v>
      </c>
    </row>
    <row r="1897" spans="1:16" x14ac:dyDescent="0.3">
      <c r="A1897" t="s">
        <v>25</v>
      </c>
      <c r="B1897" s="1">
        <v>45582.517546296294</v>
      </c>
      <c r="C1897" t="str">
        <f t="shared" si="373"/>
        <v>38</v>
      </c>
      <c r="D1897" t="s">
        <v>115</v>
      </c>
      <c r="E1897" t="s">
        <v>116</v>
      </c>
      <c r="F1897" t="s">
        <v>117</v>
      </c>
      <c r="H1897" t="s">
        <v>552</v>
      </c>
      <c r="L1897">
        <v>0</v>
      </c>
      <c r="M1897">
        <v>0</v>
      </c>
      <c r="N1897">
        <v>0</v>
      </c>
      <c r="O1897" s="1">
        <v>45582.517546296294</v>
      </c>
      <c r="P1897" t="s">
        <v>392</v>
      </c>
    </row>
    <row r="1898" spans="1:16" x14ac:dyDescent="0.3">
      <c r="A1898" t="s">
        <v>25</v>
      </c>
      <c r="B1898" s="1">
        <v>45582.517511574071</v>
      </c>
      <c r="C1898" t="str">
        <f t="shared" si="373"/>
        <v>38</v>
      </c>
      <c r="D1898" t="s">
        <v>115</v>
      </c>
      <c r="E1898" t="s">
        <v>116</v>
      </c>
      <c r="F1898" t="s">
        <v>117</v>
      </c>
      <c r="H1898" t="s">
        <v>553</v>
      </c>
      <c r="L1898">
        <v>0</v>
      </c>
      <c r="M1898">
        <v>0</v>
      </c>
      <c r="N1898">
        <v>0</v>
      </c>
      <c r="O1898" s="1">
        <v>45582.517511574071</v>
      </c>
      <c r="P1898" t="s">
        <v>392</v>
      </c>
    </row>
    <row r="1899" spans="1:16" x14ac:dyDescent="0.3">
      <c r="A1899" t="s">
        <v>25</v>
      </c>
      <c r="B1899" s="1">
        <v>45582.514826388891</v>
      </c>
      <c r="C1899" t="str">
        <f t="shared" si="373"/>
        <v>38</v>
      </c>
      <c r="D1899" t="s">
        <v>115</v>
      </c>
      <c r="E1899" t="s">
        <v>116</v>
      </c>
      <c r="F1899" t="s">
        <v>117</v>
      </c>
      <c r="H1899" t="s">
        <v>544</v>
      </c>
      <c r="L1899">
        <v>0</v>
      </c>
      <c r="M1899">
        <v>0</v>
      </c>
      <c r="N1899">
        <v>0</v>
      </c>
      <c r="O1899" s="1">
        <v>45582.514826388891</v>
      </c>
      <c r="P1899" t="s">
        <v>125</v>
      </c>
    </row>
    <row r="1900" spans="1:16" x14ac:dyDescent="0.3">
      <c r="A1900" t="s">
        <v>25</v>
      </c>
      <c r="B1900" s="1">
        <v>45582.51630787037</v>
      </c>
      <c r="C1900" t="str">
        <f t="shared" si="373"/>
        <v>38</v>
      </c>
      <c r="D1900" t="s">
        <v>115</v>
      </c>
      <c r="E1900" t="s">
        <v>116</v>
      </c>
      <c r="F1900" t="s">
        <v>117</v>
      </c>
      <c r="H1900" t="s">
        <v>554</v>
      </c>
      <c r="L1900">
        <v>0</v>
      </c>
      <c r="M1900">
        <v>0</v>
      </c>
      <c r="N1900">
        <v>0</v>
      </c>
      <c r="O1900" s="1">
        <v>45582.51630787037</v>
      </c>
      <c r="P1900" t="s">
        <v>122</v>
      </c>
    </row>
    <row r="1901" spans="1:16" x14ac:dyDescent="0.3">
      <c r="A1901" t="s">
        <v>25</v>
      </c>
      <c r="B1901" s="1">
        <v>45582.51630787037</v>
      </c>
      <c r="C1901" t="str">
        <f t="shared" ref="C1901:C1906" si="374">"41"</f>
        <v>41</v>
      </c>
      <c r="D1901" t="s">
        <v>120</v>
      </c>
      <c r="E1901" t="s">
        <v>116</v>
      </c>
      <c r="F1901" t="s">
        <v>117</v>
      </c>
      <c r="H1901" t="s">
        <v>554</v>
      </c>
      <c r="I1901" t="str">
        <f>"101620000468165"</f>
        <v>101620000468165</v>
      </c>
      <c r="J1901" t="str">
        <f t="shared" ref="J1901:J1906" si="375">"514867"</f>
        <v>514867</v>
      </c>
      <c r="K1901" t="s">
        <v>16</v>
      </c>
      <c r="L1901">
        <v>49</v>
      </c>
      <c r="M1901">
        <v>49</v>
      </c>
      <c r="N1901">
        <v>0</v>
      </c>
      <c r="O1901" s="1">
        <v>45582.51630787037</v>
      </c>
      <c r="P1901" t="s">
        <v>122</v>
      </c>
    </row>
    <row r="1902" spans="1:16" x14ac:dyDescent="0.3">
      <c r="A1902" t="s">
        <v>25</v>
      </c>
      <c r="B1902" s="1">
        <v>45582.51630787037</v>
      </c>
      <c r="C1902" t="str">
        <f t="shared" si="374"/>
        <v>41</v>
      </c>
      <c r="D1902" t="s">
        <v>120</v>
      </c>
      <c r="E1902" t="s">
        <v>116</v>
      </c>
      <c r="F1902" t="s">
        <v>117</v>
      </c>
      <c r="H1902" t="s">
        <v>554</v>
      </c>
      <c r="I1902" t="str">
        <f>"101620000468161"</f>
        <v>101620000468161</v>
      </c>
      <c r="J1902" t="str">
        <f t="shared" si="375"/>
        <v>514867</v>
      </c>
      <c r="K1902" t="s">
        <v>16</v>
      </c>
      <c r="L1902">
        <v>49</v>
      </c>
      <c r="M1902">
        <v>49</v>
      </c>
      <c r="N1902">
        <v>0</v>
      </c>
      <c r="O1902" s="1">
        <v>45582.51630787037</v>
      </c>
      <c r="P1902" t="s">
        <v>122</v>
      </c>
    </row>
    <row r="1903" spans="1:16" x14ac:dyDescent="0.3">
      <c r="A1903" t="s">
        <v>25</v>
      </c>
      <c r="B1903" s="1">
        <v>45582.51630787037</v>
      </c>
      <c r="C1903" t="str">
        <f t="shared" si="374"/>
        <v>41</v>
      </c>
      <c r="D1903" t="s">
        <v>120</v>
      </c>
      <c r="E1903" t="s">
        <v>116</v>
      </c>
      <c r="F1903" t="s">
        <v>117</v>
      </c>
      <c r="H1903" t="s">
        <v>554</v>
      </c>
      <c r="I1903" t="str">
        <f>"101620000468160"</f>
        <v>101620000468160</v>
      </c>
      <c r="J1903" t="str">
        <f t="shared" si="375"/>
        <v>514867</v>
      </c>
      <c r="K1903" t="s">
        <v>16</v>
      </c>
      <c r="L1903">
        <v>49</v>
      </c>
      <c r="M1903">
        <v>49</v>
      </c>
      <c r="N1903">
        <v>0</v>
      </c>
      <c r="O1903" s="1">
        <v>45582.51630787037</v>
      </c>
      <c r="P1903" t="s">
        <v>122</v>
      </c>
    </row>
    <row r="1904" spans="1:16" x14ac:dyDescent="0.3">
      <c r="A1904" t="s">
        <v>25</v>
      </c>
      <c r="B1904" s="1">
        <v>45582.51630787037</v>
      </c>
      <c r="C1904" t="str">
        <f t="shared" si="374"/>
        <v>41</v>
      </c>
      <c r="D1904" t="s">
        <v>120</v>
      </c>
      <c r="E1904" t="s">
        <v>116</v>
      </c>
      <c r="F1904" t="s">
        <v>117</v>
      </c>
      <c r="H1904" t="s">
        <v>554</v>
      </c>
      <c r="I1904" t="str">
        <f>"101620000468159"</f>
        <v>101620000468159</v>
      </c>
      <c r="J1904" t="str">
        <f t="shared" si="375"/>
        <v>514867</v>
      </c>
      <c r="K1904" t="s">
        <v>16</v>
      </c>
      <c r="L1904">
        <v>49</v>
      </c>
      <c r="M1904">
        <v>49</v>
      </c>
      <c r="N1904">
        <v>0</v>
      </c>
      <c r="O1904" s="1">
        <v>45582.51630787037</v>
      </c>
      <c r="P1904" t="s">
        <v>122</v>
      </c>
    </row>
    <row r="1905" spans="1:16" x14ac:dyDescent="0.3">
      <c r="A1905" t="s">
        <v>25</v>
      </c>
      <c r="B1905" s="1">
        <v>45582.51630787037</v>
      </c>
      <c r="C1905" t="str">
        <f t="shared" si="374"/>
        <v>41</v>
      </c>
      <c r="D1905" t="s">
        <v>120</v>
      </c>
      <c r="E1905" t="s">
        <v>116</v>
      </c>
      <c r="F1905" t="s">
        <v>117</v>
      </c>
      <c r="H1905" t="s">
        <v>554</v>
      </c>
      <c r="I1905" t="str">
        <f>"101620000466893"</f>
        <v>101620000466893</v>
      </c>
      <c r="J1905" t="str">
        <f t="shared" si="375"/>
        <v>514867</v>
      </c>
      <c r="K1905" t="s">
        <v>16</v>
      </c>
      <c r="L1905">
        <v>49</v>
      </c>
      <c r="M1905">
        <v>49</v>
      </c>
      <c r="N1905">
        <v>0</v>
      </c>
      <c r="O1905" s="1">
        <v>45582.51630787037</v>
      </c>
      <c r="P1905" t="s">
        <v>122</v>
      </c>
    </row>
    <row r="1906" spans="1:16" x14ac:dyDescent="0.3">
      <c r="A1906" t="s">
        <v>25</v>
      </c>
      <c r="B1906" s="1">
        <v>45582.51630787037</v>
      </c>
      <c r="C1906" t="str">
        <f t="shared" si="374"/>
        <v>41</v>
      </c>
      <c r="D1906" t="s">
        <v>120</v>
      </c>
      <c r="E1906" t="s">
        <v>116</v>
      </c>
      <c r="F1906" t="s">
        <v>117</v>
      </c>
      <c r="H1906" t="s">
        <v>554</v>
      </c>
      <c r="I1906" t="str">
        <f>"101620000466894"</f>
        <v>101620000466894</v>
      </c>
      <c r="J1906" t="str">
        <f t="shared" si="375"/>
        <v>514867</v>
      </c>
      <c r="K1906" t="s">
        <v>16</v>
      </c>
      <c r="L1906">
        <v>49</v>
      </c>
      <c r="M1906">
        <v>49</v>
      </c>
      <c r="N1906">
        <v>0</v>
      </c>
      <c r="O1906" s="1">
        <v>45582.51630787037</v>
      </c>
      <c r="P1906" t="s">
        <v>122</v>
      </c>
    </row>
    <row r="1907" spans="1:16" x14ac:dyDescent="0.3">
      <c r="A1907" t="s">
        <v>25</v>
      </c>
      <c r="B1907" s="1">
        <v>45582.514791666668</v>
      </c>
      <c r="C1907" t="str">
        <f>"38"</f>
        <v>38</v>
      </c>
      <c r="D1907" t="s">
        <v>115</v>
      </c>
      <c r="E1907" t="s">
        <v>116</v>
      </c>
      <c r="F1907" t="s">
        <v>117</v>
      </c>
      <c r="H1907" t="s">
        <v>543</v>
      </c>
      <c r="L1907">
        <v>0</v>
      </c>
      <c r="M1907">
        <v>0</v>
      </c>
      <c r="N1907">
        <v>0</v>
      </c>
      <c r="O1907" s="1">
        <v>45582.514791666668</v>
      </c>
      <c r="P1907" t="s">
        <v>125</v>
      </c>
    </row>
    <row r="1908" spans="1:16" x14ac:dyDescent="0.3">
      <c r="A1908" t="s">
        <v>25</v>
      </c>
      <c r="B1908" s="1">
        <v>45582.514745370368</v>
      </c>
      <c r="C1908" t="str">
        <f>"38"</f>
        <v>38</v>
      </c>
      <c r="D1908" t="s">
        <v>115</v>
      </c>
      <c r="E1908" t="s">
        <v>116</v>
      </c>
      <c r="F1908" t="s">
        <v>117</v>
      </c>
      <c r="H1908" t="s">
        <v>542</v>
      </c>
      <c r="L1908">
        <v>0</v>
      </c>
      <c r="M1908">
        <v>0</v>
      </c>
      <c r="N1908">
        <v>0</v>
      </c>
      <c r="O1908" s="1">
        <v>45582.514745370368</v>
      </c>
      <c r="P1908" t="s">
        <v>125</v>
      </c>
    </row>
    <row r="1909" spans="1:16" x14ac:dyDescent="0.3">
      <c r="A1909" t="s">
        <v>25</v>
      </c>
      <c r="B1909" s="1">
        <v>45582.514606481483</v>
      </c>
      <c r="C1909" t="str">
        <f>"38"</f>
        <v>38</v>
      </c>
      <c r="D1909" t="s">
        <v>115</v>
      </c>
      <c r="E1909" t="s">
        <v>116</v>
      </c>
      <c r="F1909" t="s">
        <v>117</v>
      </c>
      <c r="H1909" t="s">
        <v>555</v>
      </c>
      <c r="L1909">
        <v>0</v>
      </c>
      <c r="M1909">
        <v>0</v>
      </c>
      <c r="N1909">
        <v>0</v>
      </c>
      <c r="O1909" s="1">
        <v>45582.514606481483</v>
      </c>
      <c r="P1909" t="s">
        <v>125</v>
      </c>
    </row>
    <row r="1910" spans="1:16" x14ac:dyDescent="0.3">
      <c r="A1910" t="s">
        <v>25</v>
      </c>
      <c r="B1910" s="1">
        <v>45582.514525462961</v>
      </c>
      <c r="C1910" t="str">
        <f>"38"</f>
        <v>38</v>
      </c>
      <c r="D1910" t="s">
        <v>115</v>
      </c>
      <c r="E1910" t="s">
        <v>116</v>
      </c>
      <c r="F1910" t="s">
        <v>117</v>
      </c>
      <c r="H1910" t="s">
        <v>541</v>
      </c>
      <c r="L1910">
        <v>0</v>
      </c>
      <c r="M1910">
        <v>0</v>
      </c>
      <c r="N1910">
        <v>0</v>
      </c>
      <c r="O1910" s="1">
        <v>45582.514525462961</v>
      </c>
      <c r="P1910" t="s">
        <v>125</v>
      </c>
    </row>
    <row r="1911" spans="1:16" x14ac:dyDescent="0.3">
      <c r="A1911" t="s">
        <v>25</v>
      </c>
      <c r="B1911" s="1">
        <v>45582.514537037037</v>
      </c>
      <c r="C1911" t="str">
        <f>"38"</f>
        <v>38</v>
      </c>
      <c r="D1911" t="s">
        <v>115</v>
      </c>
      <c r="E1911" t="s">
        <v>116</v>
      </c>
      <c r="F1911" t="s">
        <v>117</v>
      </c>
      <c r="H1911" t="s">
        <v>554</v>
      </c>
      <c r="L1911">
        <v>0</v>
      </c>
      <c r="M1911">
        <v>0</v>
      </c>
      <c r="N1911">
        <v>0</v>
      </c>
      <c r="O1911" s="1">
        <v>45582.514537037037</v>
      </c>
      <c r="P1911" t="s">
        <v>122</v>
      </c>
    </row>
    <row r="1912" spans="1:16" x14ac:dyDescent="0.3">
      <c r="A1912" t="s">
        <v>25</v>
      </c>
      <c r="B1912" s="1">
        <v>45582.514537037037</v>
      </c>
      <c r="C1912" t="str">
        <f t="shared" ref="C1912:C1917" si="376">"41"</f>
        <v>41</v>
      </c>
      <c r="D1912" t="s">
        <v>120</v>
      </c>
      <c r="E1912" t="s">
        <v>116</v>
      </c>
      <c r="F1912" t="s">
        <v>117</v>
      </c>
      <c r="H1912" t="s">
        <v>554</v>
      </c>
      <c r="I1912" t="str">
        <f>"101620000468160"</f>
        <v>101620000468160</v>
      </c>
      <c r="J1912" t="str">
        <f t="shared" ref="J1912:J1917" si="377">"514867"</f>
        <v>514867</v>
      </c>
      <c r="K1912" t="s">
        <v>16</v>
      </c>
      <c r="L1912">
        <v>49</v>
      </c>
      <c r="M1912">
        <v>49</v>
      </c>
      <c r="N1912">
        <v>0</v>
      </c>
      <c r="O1912" s="1">
        <v>45582.514537037037</v>
      </c>
      <c r="P1912" t="s">
        <v>122</v>
      </c>
    </row>
    <row r="1913" spans="1:16" x14ac:dyDescent="0.3">
      <c r="A1913" t="s">
        <v>25</v>
      </c>
      <c r="B1913" s="1">
        <v>45582.514537037037</v>
      </c>
      <c r="C1913" t="str">
        <f t="shared" si="376"/>
        <v>41</v>
      </c>
      <c r="D1913" t="s">
        <v>120</v>
      </c>
      <c r="E1913" t="s">
        <v>116</v>
      </c>
      <c r="F1913" t="s">
        <v>117</v>
      </c>
      <c r="H1913" t="s">
        <v>554</v>
      </c>
      <c r="I1913" t="str">
        <f>"101620000466894"</f>
        <v>101620000466894</v>
      </c>
      <c r="J1913" t="str">
        <f t="shared" si="377"/>
        <v>514867</v>
      </c>
      <c r="K1913" t="s">
        <v>16</v>
      </c>
      <c r="L1913">
        <v>49</v>
      </c>
      <c r="M1913">
        <v>49</v>
      </c>
      <c r="N1913">
        <v>0</v>
      </c>
      <c r="O1913" s="1">
        <v>45582.514537037037</v>
      </c>
      <c r="P1913" t="s">
        <v>122</v>
      </c>
    </row>
    <row r="1914" spans="1:16" x14ac:dyDescent="0.3">
      <c r="A1914" t="s">
        <v>25</v>
      </c>
      <c r="B1914" s="1">
        <v>45582.514537037037</v>
      </c>
      <c r="C1914" t="str">
        <f t="shared" si="376"/>
        <v>41</v>
      </c>
      <c r="D1914" t="s">
        <v>120</v>
      </c>
      <c r="E1914" t="s">
        <v>116</v>
      </c>
      <c r="F1914" t="s">
        <v>117</v>
      </c>
      <c r="H1914" t="s">
        <v>554</v>
      </c>
      <c r="I1914" t="str">
        <f>"101620000468159"</f>
        <v>101620000468159</v>
      </c>
      <c r="J1914" t="str">
        <f t="shared" si="377"/>
        <v>514867</v>
      </c>
      <c r="K1914" t="s">
        <v>16</v>
      </c>
      <c r="L1914">
        <v>49</v>
      </c>
      <c r="M1914">
        <v>49</v>
      </c>
      <c r="N1914">
        <v>0</v>
      </c>
      <c r="O1914" s="1">
        <v>45582.514537037037</v>
      </c>
      <c r="P1914" t="s">
        <v>122</v>
      </c>
    </row>
    <row r="1915" spans="1:16" x14ac:dyDescent="0.3">
      <c r="A1915" t="s">
        <v>25</v>
      </c>
      <c r="B1915" s="1">
        <v>45582.514537037037</v>
      </c>
      <c r="C1915" t="str">
        <f t="shared" si="376"/>
        <v>41</v>
      </c>
      <c r="D1915" t="s">
        <v>120</v>
      </c>
      <c r="E1915" t="s">
        <v>116</v>
      </c>
      <c r="F1915" t="s">
        <v>117</v>
      </c>
      <c r="H1915" t="s">
        <v>554</v>
      </c>
      <c r="I1915" t="str">
        <f>"101620000468161"</f>
        <v>101620000468161</v>
      </c>
      <c r="J1915" t="str">
        <f t="shared" si="377"/>
        <v>514867</v>
      </c>
      <c r="K1915" t="s">
        <v>16</v>
      </c>
      <c r="L1915">
        <v>49</v>
      </c>
      <c r="M1915">
        <v>49</v>
      </c>
      <c r="N1915">
        <v>0</v>
      </c>
      <c r="O1915" s="1">
        <v>45582.514537037037</v>
      </c>
      <c r="P1915" t="s">
        <v>122</v>
      </c>
    </row>
    <row r="1916" spans="1:16" x14ac:dyDescent="0.3">
      <c r="A1916" t="s">
        <v>25</v>
      </c>
      <c r="B1916" s="1">
        <v>45582.514537037037</v>
      </c>
      <c r="C1916" t="str">
        <f t="shared" si="376"/>
        <v>41</v>
      </c>
      <c r="D1916" t="s">
        <v>120</v>
      </c>
      <c r="E1916" t="s">
        <v>116</v>
      </c>
      <c r="F1916" t="s">
        <v>117</v>
      </c>
      <c r="H1916" t="s">
        <v>554</v>
      </c>
      <c r="I1916" t="str">
        <f>"101620000466893"</f>
        <v>101620000466893</v>
      </c>
      <c r="J1916" t="str">
        <f t="shared" si="377"/>
        <v>514867</v>
      </c>
      <c r="K1916" t="s">
        <v>16</v>
      </c>
      <c r="L1916">
        <v>49</v>
      </c>
      <c r="M1916">
        <v>49</v>
      </c>
      <c r="N1916">
        <v>0</v>
      </c>
      <c r="O1916" s="1">
        <v>45582.514537037037</v>
      </c>
      <c r="P1916" t="s">
        <v>122</v>
      </c>
    </row>
    <row r="1917" spans="1:16" x14ac:dyDescent="0.3">
      <c r="A1917" t="s">
        <v>25</v>
      </c>
      <c r="B1917" s="1">
        <v>45582.514537037037</v>
      </c>
      <c r="C1917" t="str">
        <f t="shared" si="376"/>
        <v>41</v>
      </c>
      <c r="D1917" t="s">
        <v>120</v>
      </c>
      <c r="E1917" t="s">
        <v>116</v>
      </c>
      <c r="F1917" t="s">
        <v>117</v>
      </c>
      <c r="H1917" t="s">
        <v>554</v>
      </c>
      <c r="I1917" t="str">
        <f>"101620000468165"</f>
        <v>101620000468165</v>
      </c>
      <c r="J1917" t="str">
        <f t="shared" si="377"/>
        <v>514867</v>
      </c>
      <c r="K1917" t="s">
        <v>16</v>
      </c>
      <c r="L1917">
        <v>49</v>
      </c>
      <c r="M1917">
        <v>49</v>
      </c>
      <c r="N1917">
        <v>0</v>
      </c>
      <c r="O1917" s="1">
        <v>45582.514537037037</v>
      </c>
      <c r="P1917" t="s">
        <v>122</v>
      </c>
    </row>
    <row r="1918" spans="1:16" x14ac:dyDescent="0.3">
      <c r="A1918" t="s">
        <v>25</v>
      </c>
      <c r="B1918" s="1">
        <v>45582.514444444445</v>
      </c>
      <c r="C1918" t="str">
        <f>"38"</f>
        <v>38</v>
      </c>
      <c r="D1918" t="s">
        <v>115</v>
      </c>
      <c r="E1918" t="s">
        <v>116</v>
      </c>
      <c r="F1918" t="s">
        <v>117</v>
      </c>
      <c r="H1918" t="s">
        <v>556</v>
      </c>
      <c r="L1918">
        <v>0</v>
      </c>
      <c r="M1918">
        <v>0</v>
      </c>
      <c r="N1918">
        <v>0</v>
      </c>
      <c r="O1918" s="1">
        <v>45582.514444444445</v>
      </c>
      <c r="P1918" t="s">
        <v>125</v>
      </c>
    </row>
    <row r="1919" spans="1:16" x14ac:dyDescent="0.3">
      <c r="A1919" t="s">
        <v>25</v>
      </c>
      <c r="B1919" s="1">
        <v>45582.514398148145</v>
      </c>
      <c r="C1919" t="str">
        <f>"38"</f>
        <v>38</v>
      </c>
      <c r="D1919" t="s">
        <v>115</v>
      </c>
      <c r="E1919" t="s">
        <v>116</v>
      </c>
      <c r="F1919" t="s">
        <v>117</v>
      </c>
      <c r="H1919" t="s">
        <v>557</v>
      </c>
      <c r="L1919">
        <v>0</v>
      </c>
      <c r="M1919">
        <v>0</v>
      </c>
      <c r="N1919">
        <v>0</v>
      </c>
      <c r="O1919" s="1">
        <v>45582.514398148145</v>
      </c>
      <c r="P1919" t="s">
        <v>125</v>
      </c>
    </row>
    <row r="1920" spans="1:16" x14ac:dyDescent="0.3">
      <c r="A1920" t="s">
        <v>25</v>
      </c>
      <c r="B1920" s="1">
        <v>45582.514351851853</v>
      </c>
      <c r="C1920" t="str">
        <f>"38"</f>
        <v>38</v>
      </c>
      <c r="D1920" t="s">
        <v>115</v>
      </c>
      <c r="E1920" t="s">
        <v>116</v>
      </c>
      <c r="F1920" t="s">
        <v>117</v>
      </c>
      <c r="H1920" t="s">
        <v>558</v>
      </c>
      <c r="L1920">
        <v>0</v>
      </c>
      <c r="M1920">
        <v>0</v>
      </c>
      <c r="N1920">
        <v>0</v>
      </c>
      <c r="O1920" s="1">
        <v>45582.514351851853</v>
      </c>
      <c r="P1920" t="s">
        <v>125</v>
      </c>
    </row>
    <row r="1921" spans="1:16" x14ac:dyDescent="0.3">
      <c r="A1921" t="s">
        <v>25</v>
      </c>
      <c r="B1921" s="1">
        <v>45582.518275462964</v>
      </c>
      <c r="C1921" t="str">
        <f>"38"</f>
        <v>38</v>
      </c>
      <c r="D1921" t="s">
        <v>115</v>
      </c>
      <c r="E1921" t="s">
        <v>116</v>
      </c>
      <c r="F1921" t="s">
        <v>117</v>
      </c>
      <c r="H1921" t="s">
        <v>465</v>
      </c>
      <c r="L1921">
        <v>0</v>
      </c>
      <c r="M1921">
        <v>0</v>
      </c>
      <c r="N1921">
        <v>0</v>
      </c>
      <c r="O1921" s="1">
        <v>45582.518275462964</v>
      </c>
      <c r="P1921" t="s">
        <v>132</v>
      </c>
    </row>
    <row r="1922" spans="1:16" x14ac:dyDescent="0.3">
      <c r="A1922" t="s">
        <v>25</v>
      </c>
      <c r="B1922" s="1">
        <v>45582.518275462964</v>
      </c>
      <c r="C1922" t="str">
        <f t="shared" ref="C1922:C1928" si="378">"40"</f>
        <v>40</v>
      </c>
      <c r="D1922" t="s">
        <v>220</v>
      </c>
      <c r="E1922" t="s">
        <v>116</v>
      </c>
      <c r="F1922" t="s">
        <v>117</v>
      </c>
      <c r="G1922" t="s">
        <v>221</v>
      </c>
      <c r="H1922" t="s">
        <v>465</v>
      </c>
      <c r="I1922" t="str">
        <f>"101050002024362"</f>
        <v>101050002024362</v>
      </c>
      <c r="J1922" t="str">
        <f t="shared" ref="J1922:J1928" si="379">"514568"</f>
        <v>514568</v>
      </c>
      <c r="K1922" t="s">
        <v>87</v>
      </c>
      <c r="L1922">
        <v>49</v>
      </c>
      <c r="M1922">
        <v>0</v>
      </c>
      <c r="N1922">
        <v>-49</v>
      </c>
      <c r="O1922" s="1">
        <v>45582.518275462964</v>
      </c>
      <c r="P1922" t="s">
        <v>132</v>
      </c>
    </row>
    <row r="1923" spans="1:16" x14ac:dyDescent="0.3">
      <c r="A1923" t="s">
        <v>25</v>
      </c>
      <c r="B1923" s="1">
        <v>45582.518263888887</v>
      </c>
      <c r="C1923" t="str">
        <f t="shared" si="378"/>
        <v>40</v>
      </c>
      <c r="D1923" t="s">
        <v>220</v>
      </c>
      <c r="E1923" t="s">
        <v>116</v>
      </c>
      <c r="F1923" t="s">
        <v>117</v>
      </c>
      <c r="G1923" t="s">
        <v>221</v>
      </c>
      <c r="H1923" t="s">
        <v>465</v>
      </c>
      <c r="I1923" t="str">
        <f>"101050002024361"</f>
        <v>101050002024361</v>
      </c>
      <c r="J1923" t="str">
        <f t="shared" si="379"/>
        <v>514568</v>
      </c>
      <c r="K1923" t="s">
        <v>87</v>
      </c>
      <c r="L1923">
        <v>49</v>
      </c>
      <c r="M1923">
        <v>0</v>
      </c>
      <c r="N1923">
        <v>-49</v>
      </c>
      <c r="O1923" s="1">
        <v>45582.518263888887</v>
      </c>
      <c r="P1923" t="s">
        <v>132</v>
      </c>
    </row>
    <row r="1924" spans="1:16" x14ac:dyDescent="0.3">
      <c r="A1924" t="s">
        <v>25</v>
      </c>
      <c r="B1924" s="1">
        <v>45582.518263888887</v>
      </c>
      <c r="C1924" t="str">
        <f t="shared" si="378"/>
        <v>40</v>
      </c>
      <c r="D1924" t="s">
        <v>220</v>
      </c>
      <c r="E1924" t="s">
        <v>116</v>
      </c>
      <c r="F1924" t="s">
        <v>117</v>
      </c>
      <c r="G1924" t="s">
        <v>221</v>
      </c>
      <c r="H1924" t="s">
        <v>465</v>
      </c>
      <c r="I1924" t="str">
        <f>"101050002024360"</f>
        <v>101050002024360</v>
      </c>
      <c r="J1924" t="str">
        <f t="shared" si="379"/>
        <v>514568</v>
      </c>
      <c r="K1924" t="s">
        <v>87</v>
      </c>
      <c r="L1924">
        <v>49</v>
      </c>
      <c r="M1924">
        <v>0</v>
      </c>
      <c r="N1924">
        <v>-49</v>
      </c>
      <c r="O1924" s="1">
        <v>45582.518263888887</v>
      </c>
      <c r="P1924" t="s">
        <v>132</v>
      </c>
    </row>
    <row r="1925" spans="1:16" x14ac:dyDescent="0.3">
      <c r="A1925" t="s">
        <v>25</v>
      </c>
      <c r="B1925" s="1">
        <v>45582.518263888887</v>
      </c>
      <c r="C1925" t="str">
        <f t="shared" si="378"/>
        <v>40</v>
      </c>
      <c r="D1925" t="s">
        <v>220</v>
      </c>
      <c r="E1925" t="s">
        <v>116</v>
      </c>
      <c r="F1925" t="s">
        <v>117</v>
      </c>
      <c r="G1925" t="s">
        <v>221</v>
      </c>
      <c r="H1925" t="s">
        <v>465</v>
      </c>
      <c r="I1925" t="str">
        <f>"101050001976340"</f>
        <v>101050001976340</v>
      </c>
      <c r="J1925" t="str">
        <f t="shared" si="379"/>
        <v>514568</v>
      </c>
      <c r="K1925" t="s">
        <v>87</v>
      </c>
      <c r="L1925">
        <v>49</v>
      </c>
      <c r="M1925">
        <v>0</v>
      </c>
      <c r="N1925">
        <v>-49</v>
      </c>
      <c r="O1925" s="1">
        <v>45582.518263888887</v>
      </c>
      <c r="P1925" t="s">
        <v>132</v>
      </c>
    </row>
    <row r="1926" spans="1:16" x14ac:dyDescent="0.3">
      <c r="A1926" t="s">
        <v>25</v>
      </c>
      <c r="B1926" s="1">
        <v>45582.518263888887</v>
      </c>
      <c r="C1926" t="str">
        <f t="shared" si="378"/>
        <v>40</v>
      </c>
      <c r="D1926" t="s">
        <v>220</v>
      </c>
      <c r="E1926" t="s">
        <v>116</v>
      </c>
      <c r="F1926" t="s">
        <v>117</v>
      </c>
      <c r="G1926" t="s">
        <v>221</v>
      </c>
      <c r="H1926" t="s">
        <v>465</v>
      </c>
      <c r="I1926" t="str">
        <f>"101050001976099"</f>
        <v>101050001976099</v>
      </c>
      <c r="J1926" t="str">
        <f t="shared" si="379"/>
        <v>514568</v>
      </c>
      <c r="K1926" t="s">
        <v>87</v>
      </c>
      <c r="L1926">
        <v>49</v>
      </c>
      <c r="M1926">
        <v>0</v>
      </c>
      <c r="N1926">
        <v>-49</v>
      </c>
      <c r="O1926" s="1">
        <v>45582.518263888887</v>
      </c>
      <c r="P1926" t="s">
        <v>132</v>
      </c>
    </row>
    <row r="1927" spans="1:16" x14ac:dyDescent="0.3">
      <c r="A1927" t="s">
        <v>25</v>
      </c>
      <c r="B1927" s="1">
        <v>45582.518252314818</v>
      </c>
      <c r="C1927" t="str">
        <f t="shared" si="378"/>
        <v>40</v>
      </c>
      <c r="D1927" t="s">
        <v>220</v>
      </c>
      <c r="E1927" t="s">
        <v>116</v>
      </c>
      <c r="F1927" t="s">
        <v>117</v>
      </c>
      <c r="G1927" t="s">
        <v>221</v>
      </c>
      <c r="H1927" t="s">
        <v>465</v>
      </c>
      <c r="I1927" t="str">
        <f>"101050001975240"</f>
        <v>101050001975240</v>
      </c>
      <c r="J1927" t="str">
        <f t="shared" si="379"/>
        <v>514568</v>
      </c>
      <c r="K1927" t="s">
        <v>87</v>
      </c>
      <c r="L1927">
        <v>49</v>
      </c>
      <c r="M1927">
        <v>0</v>
      </c>
      <c r="N1927">
        <v>-49</v>
      </c>
      <c r="O1927" s="1">
        <v>45582.518252314818</v>
      </c>
      <c r="P1927" t="s">
        <v>132</v>
      </c>
    </row>
    <row r="1928" spans="1:16" x14ac:dyDescent="0.3">
      <c r="A1928" t="s">
        <v>25</v>
      </c>
      <c r="B1928" s="1">
        <v>45582.518252314818</v>
      </c>
      <c r="C1928" t="str">
        <f t="shared" si="378"/>
        <v>40</v>
      </c>
      <c r="D1928" t="s">
        <v>220</v>
      </c>
      <c r="E1928" t="s">
        <v>116</v>
      </c>
      <c r="F1928" t="s">
        <v>117</v>
      </c>
      <c r="G1928" t="s">
        <v>221</v>
      </c>
      <c r="H1928" t="s">
        <v>465</v>
      </c>
      <c r="I1928" t="str">
        <f>"101050001974412"</f>
        <v>101050001974412</v>
      </c>
      <c r="J1928" t="str">
        <f t="shared" si="379"/>
        <v>514568</v>
      </c>
      <c r="K1928" t="s">
        <v>87</v>
      </c>
      <c r="L1928">
        <v>49</v>
      </c>
      <c r="M1928">
        <v>0</v>
      </c>
      <c r="N1928">
        <v>-49</v>
      </c>
      <c r="O1928" s="1">
        <v>45582.518252314818</v>
      </c>
      <c r="P1928" t="s">
        <v>132</v>
      </c>
    </row>
    <row r="1929" spans="1:16" x14ac:dyDescent="0.3">
      <c r="A1929" t="s">
        <v>25</v>
      </c>
      <c r="B1929" s="1">
        <v>45582.518113425926</v>
      </c>
      <c r="C1929" t="str">
        <f t="shared" ref="C1929:C1936" si="380">"38"</f>
        <v>38</v>
      </c>
      <c r="D1929" t="s">
        <v>115</v>
      </c>
      <c r="E1929" t="s">
        <v>116</v>
      </c>
      <c r="F1929" t="s">
        <v>117</v>
      </c>
      <c r="H1929" t="s">
        <v>559</v>
      </c>
      <c r="L1929">
        <v>0</v>
      </c>
      <c r="M1929">
        <v>0</v>
      </c>
      <c r="N1929">
        <v>0</v>
      </c>
      <c r="O1929" s="1">
        <v>45582.518113425926</v>
      </c>
      <c r="P1929" t="s">
        <v>119</v>
      </c>
    </row>
    <row r="1930" spans="1:16" x14ac:dyDescent="0.3">
      <c r="A1930" t="s">
        <v>25</v>
      </c>
      <c r="B1930" s="1">
        <v>45582.518078703702</v>
      </c>
      <c r="C1930" t="str">
        <f t="shared" si="380"/>
        <v>38</v>
      </c>
      <c r="D1930" t="s">
        <v>115</v>
      </c>
      <c r="E1930" t="s">
        <v>116</v>
      </c>
      <c r="F1930" t="s">
        <v>117</v>
      </c>
      <c r="H1930" t="s">
        <v>560</v>
      </c>
      <c r="L1930">
        <v>0</v>
      </c>
      <c r="M1930">
        <v>0</v>
      </c>
      <c r="N1930">
        <v>0</v>
      </c>
      <c r="O1930" s="1">
        <v>45582.518078703702</v>
      </c>
      <c r="P1930" t="s">
        <v>119</v>
      </c>
    </row>
    <row r="1931" spans="1:16" x14ac:dyDescent="0.3">
      <c r="A1931" t="s">
        <v>25</v>
      </c>
      <c r="B1931" s="1">
        <v>45582.518043981479</v>
      </c>
      <c r="C1931" t="str">
        <f t="shared" si="380"/>
        <v>38</v>
      </c>
      <c r="D1931" t="s">
        <v>115</v>
      </c>
      <c r="E1931" t="s">
        <v>116</v>
      </c>
      <c r="F1931" t="s">
        <v>117</v>
      </c>
      <c r="H1931" t="s">
        <v>561</v>
      </c>
      <c r="L1931">
        <v>0</v>
      </c>
      <c r="M1931">
        <v>0</v>
      </c>
      <c r="N1931">
        <v>0</v>
      </c>
      <c r="O1931" s="1">
        <v>45582.518043981479</v>
      </c>
      <c r="P1931" t="s">
        <v>119</v>
      </c>
    </row>
    <row r="1932" spans="1:16" x14ac:dyDescent="0.3">
      <c r="A1932" t="s">
        <v>25</v>
      </c>
      <c r="B1932" s="1">
        <v>45582.518009259256</v>
      </c>
      <c r="C1932" t="str">
        <f t="shared" si="380"/>
        <v>38</v>
      </c>
      <c r="D1932" t="s">
        <v>115</v>
      </c>
      <c r="E1932" t="s">
        <v>116</v>
      </c>
      <c r="F1932" t="s">
        <v>117</v>
      </c>
      <c r="H1932" t="s">
        <v>562</v>
      </c>
      <c r="L1932">
        <v>0</v>
      </c>
      <c r="M1932">
        <v>0</v>
      </c>
      <c r="N1932">
        <v>0</v>
      </c>
      <c r="O1932" s="1">
        <v>45582.518009259256</v>
      </c>
      <c r="P1932" t="s">
        <v>119</v>
      </c>
    </row>
    <row r="1933" spans="1:16" x14ac:dyDescent="0.3">
      <c r="A1933" t="s">
        <v>25</v>
      </c>
      <c r="B1933" s="1">
        <v>45582.517928240741</v>
      </c>
      <c r="C1933" t="str">
        <f t="shared" si="380"/>
        <v>38</v>
      </c>
      <c r="D1933" t="s">
        <v>115</v>
      </c>
      <c r="E1933" t="s">
        <v>116</v>
      </c>
      <c r="F1933" t="s">
        <v>117</v>
      </c>
      <c r="H1933" t="s">
        <v>563</v>
      </c>
      <c r="L1933">
        <v>0</v>
      </c>
      <c r="M1933">
        <v>0</v>
      </c>
      <c r="N1933">
        <v>0</v>
      </c>
      <c r="O1933" s="1">
        <v>45582.517928240741</v>
      </c>
      <c r="P1933" t="s">
        <v>132</v>
      </c>
    </row>
    <row r="1934" spans="1:16" x14ac:dyDescent="0.3">
      <c r="A1934" t="s">
        <v>25</v>
      </c>
      <c r="B1934" s="1">
        <v>45582.517847222225</v>
      </c>
      <c r="C1934" t="str">
        <f t="shared" si="380"/>
        <v>38</v>
      </c>
      <c r="D1934" t="s">
        <v>115</v>
      </c>
      <c r="E1934" t="s">
        <v>116</v>
      </c>
      <c r="F1934" t="s">
        <v>117</v>
      </c>
      <c r="H1934" t="s">
        <v>564</v>
      </c>
      <c r="L1934">
        <v>0</v>
      </c>
      <c r="M1934">
        <v>0</v>
      </c>
      <c r="N1934">
        <v>0</v>
      </c>
      <c r="O1934" s="1">
        <v>45582.517847222225</v>
      </c>
      <c r="P1934" t="s">
        <v>132</v>
      </c>
    </row>
    <row r="1935" spans="1:16" x14ac:dyDescent="0.3">
      <c r="A1935" t="s">
        <v>25</v>
      </c>
      <c r="B1935" s="1">
        <v>45582.517812500002</v>
      </c>
      <c r="C1935" t="str">
        <f t="shared" si="380"/>
        <v>38</v>
      </c>
      <c r="D1935" t="s">
        <v>115</v>
      </c>
      <c r="E1935" t="s">
        <v>116</v>
      </c>
      <c r="F1935" t="s">
        <v>117</v>
      </c>
      <c r="H1935" t="s">
        <v>565</v>
      </c>
      <c r="L1935">
        <v>0</v>
      </c>
      <c r="M1935">
        <v>0</v>
      </c>
      <c r="N1935">
        <v>0</v>
      </c>
      <c r="O1935" s="1">
        <v>45582.517812500002</v>
      </c>
      <c r="P1935" t="s">
        <v>132</v>
      </c>
    </row>
    <row r="1936" spans="1:16" x14ac:dyDescent="0.3">
      <c r="A1936" t="s">
        <v>25</v>
      </c>
      <c r="B1936" s="1">
        <v>45582.517777777779</v>
      </c>
      <c r="C1936" t="str">
        <f t="shared" si="380"/>
        <v>38</v>
      </c>
      <c r="D1936" t="s">
        <v>115</v>
      </c>
      <c r="E1936" t="s">
        <v>116</v>
      </c>
      <c r="F1936" t="s">
        <v>117</v>
      </c>
      <c r="H1936" t="s">
        <v>566</v>
      </c>
      <c r="L1936">
        <v>0</v>
      </c>
      <c r="M1936">
        <v>0</v>
      </c>
      <c r="N1936">
        <v>0</v>
      </c>
      <c r="O1936" s="1">
        <v>45582.517777777779</v>
      </c>
      <c r="P1936" t="s">
        <v>119</v>
      </c>
    </row>
    <row r="1937" spans="1:16" x14ac:dyDescent="0.3">
      <c r="A1937" t="s">
        <v>25</v>
      </c>
      <c r="B1937" s="1">
        <v>45582.517777777779</v>
      </c>
      <c r="C1937" t="str">
        <f>"41"</f>
        <v>41</v>
      </c>
      <c r="D1937" t="s">
        <v>120</v>
      </c>
      <c r="E1937" t="s">
        <v>116</v>
      </c>
      <c r="F1937" t="s">
        <v>117</v>
      </c>
      <c r="H1937" t="s">
        <v>566</v>
      </c>
      <c r="I1937" t="str">
        <f>"101050001974431"</f>
        <v>101050001974431</v>
      </c>
      <c r="J1937" t="str">
        <f>"38447"</f>
        <v>38447</v>
      </c>
      <c r="K1937" t="s">
        <v>78</v>
      </c>
      <c r="L1937">
        <v>49</v>
      </c>
      <c r="M1937">
        <v>49</v>
      </c>
      <c r="N1937">
        <v>0</v>
      </c>
      <c r="O1937" s="1">
        <v>45582.517777777779</v>
      </c>
      <c r="P1937" t="s">
        <v>119</v>
      </c>
    </row>
    <row r="1938" spans="1:16" x14ac:dyDescent="0.3">
      <c r="A1938" t="s">
        <v>25</v>
      </c>
      <c r="B1938" s="1">
        <v>45582.517777777779</v>
      </c>
      <c r="C1938" t="str">
        <f>"38"</f>
        <v>38</v>
      </c>
      <c r="D1938" t="s">
        <v>115</v>
      </c>
      <c r="E1938" t="s">
        <v>116</v>
      </c>
      <c r="F1938" t="s">
        <v>117</v>
      </c>
      <c r="H1938" t="s">
        <v>567</v>
      </c>
      <c r="L1938">
        <v>0</v>
      </c>
      <c r="M1938">
        <v>0</v>
      </c>
      <c r="N1938">
        <v>0</v>
      </c>
      <c r="O1938" s="1">
        <v>45582.517777777779</v>
      </c>
      <c r="P1938" t="s">
        <v>132</v>
      </c>
    </row>
    <row r="1939" spans="1:16" x14ac:dyDescent="0.3">
      <c r="A1939" t="s">
        <v>25</v>
      </c>
      <c r="B1939" s="1">
        <v>45582.517777777779</v>
      </c>
      <c r="C1939" t="str">
        <f>"41"</f>
        <v>41</v>
      </c>
      <c r="D1939" t="s">
        <v>120</v>
      </c>
      <c r="E1939" t="s">
        <v>116</v>
      </c>
      <c r="F1939" t="s">
        <v>117</v>
      </c>
      <c r="H1939" t="s">
        <v>566</v>
      </c>
      <c r="I1939" t="str">
        <f>"101050001974242"</f>
        <v>101050001974242</v>
      </c>
      <c r="J1939" t="str">
        <f>"38447"</f>
        <v>38447</v>
      </c>
      <c r="K1939" t="s">
        <v>78</v>
      </c>
      <c r="L1939">
        <v>49</v>
      </c>
      <c r="M1939">
        <v>49</v>
      </c>
      <c r="N1939">
        <v>0</v>
      </c>
      <c r="O1939" s="1">
        <v>45582.517777777779</v>
      </c>
      <c r="P1939" t="s">
        <v>119</v>
      </c>
    </row>
    <row r="1940" spans="1:16" x14ac:dyDescent="0.3">
      <c r="A1940" t="s">
        <v>25</v>
      </c>
      <c r="B1940" s="1">
        <v>45582.517777777779</v>
      </c>
      <c r="C1940" t="str">
        <f>"41"</f>
        <v>41</v>
      </c>
      <c r="D1940" t="s">
        <v>120</v>
      </c>
      <c r="E1940" t="s">
        <v>116</v>
      </c>
      <c r="F1940" t="s">
        <v>117</v>
      </c>
      <c r="H1940" t="s">
        <v>566</v>
      </c>
      <c r="I1940" t="str">
        <f>"101050001974240"</f>
        <v>101050001974240</v>
      </c>
      <c r="J1940" t="str">
        <f>"38447"</f>
        <v>38447</v>
      </c>
      <c r="K1940" t="s">
        <v>78</v>
      </c>
      <c r="L1940">
        <v>49</v>
      </c>
      <c r="M1940">
        <v>49</v>
      </c>
      <c r="N1940">
        <v>0</v>
      </c>
      <c r="O1940" s="1">
        <v>45582.517777777779</v>
      </c>
      <c r="P1940" t="s">
        <v>119</v>
      </c>
    </row>
    <row r="1941" spans="1:16" x14ac:dyDescent="0.3">
      <c r="A1941" t="s">
        <v>25</v>
      </c>
      <c r="B1941" s="1">
        <v>45582.517754629633</v>
      </c>
      <c r="C1941" t="str">
        <f>"38"</f>
        <v>38</v>
      </c>
      <c r="D1941" t="s">
        <v>115</v>
      </c>
      <c r="E1941" t="s">
        <v>116</v>
      </c>
      <c r="F1941" t="s">
        <v>117</v>
      </c>
      <c r="H1941" t="s">
        <v>568</v>
      </c>
      <c r="L1941">
        <v>0</v>
      </c>
      <c r="M1941">
        <v>0</v>
      </c>
      <c r="N1941">
        <v>0</v>
      </c>
      <c r="O1941" s="1">
        <v>45582.517754629633</v>
      </c>
      <c r="P1941" t="s">
        <v>132</v>
      </c>
    </row>
    <row r="1942" spans="1:16" x14ac:dyDescent="0.3">
      <c r="A1942" t="s">
        <v>25</v>
      </c>
      <c r="B1942" s="1">
        <v>45582.517430555556</v>
      </c>
      <c r="C1942" t="str">
        <f>"38"</f>
        <v>38</v>
      </c>
      <c r="D1942" t="s">
        <v>115</v>
      </c>
      <c r="E1942" t="s">
        <v>116</v>
      </c>
      <c r="F1942" t="s">
        <v>117</v>
      </c>
      <c r="H1942" t="s">
        <v>569</v>
      </c>
      <c r="L1942">
        <v>0</v>
      </c>
      <c r="M1942">
        <v>0</v>
      </c>
      <c r="N1942">
        <v>0</v>
      </c>
      <c r="O1942" s="1">
        <v>45582.517430555556</v>
      </c>
      <c r="P1942" t="s">
        <v>132</v>
      </c>
    </row>
    <row r="1943" spans="1:16" x14ac:dyDescent="0.3">
      <c r="A1943" t="s">
        <v>25</v>
      </c>
      <c r="B1943" s="1">
        <v>45582.516400462962</v>
      </c>
      <c r="C1943" t="str">
        <f>"38"</f>
        <v>38</v>
      </c>
      <c r="D1943" t="s">
        <v>115</v>
      </c>
      <c r="E1943" t="s">
        <v>116</v>
      </c>
      <c r="F1943" t="s">
        <v>117</v>
      </c>
      <c r="H1943" t="s">
        <v>570</v>
      </c>
      <c r="L1943">
        <v>0</v>
      </c>
      <c r="M1943">
        <v>0</v>
      </c>
      <c r="N1943">
        <v>0</v>
      </c>
      <c r="O1943" s="1">
        <v>45582.516400462962</v>
      </c>
      <c r="P1943" t="s">
        <v>119</v>
      </c>
    </row>
    <row r="1944" spans="1:16" x14ac:dyDescent="0.3">
      <c r="A1944" t="s">
        <v>25</v>
      </c>
      <c r="B1944" s="1">
        <v>45582.516400462962</v>
      </c>
      <c r="C1944" t="str">
        <f t="shared" ref="C1944:C1950" si="381">"41"</f>
        <v>41</v>
      </c>
      <c r="D1944" t="s">
        <v>120</v>
      </c>
      <c r="E1944" t="s">
        <v>116</v>
      </c>
      <c r="F1944" t="s">
        <v>117</v>
      </c>
      <c r="H1944" t="s">
        <v>570</v>
      </c>
      <c r="I1944" t="str">
        <f>"101050001989157"</f>
        <v>101050001989157</v>
      </c>
      <c r="J1944" t="str">
        <f t="shared" ref="J1944:J1950" si="382">"514988"</f>
        <v>514988</v>
      </c>
      <c r="K1944" t="s">
        <v>94</v>
      </c>
      <c r="L1944">
        <v>49</v>
      </c>
      <c r="M1944">
        <v>49</v>
      </c>
      <c r="N1944">
        <v>0</v>
      </c>
      <c r="O1944" s="1">
        <v>45582.516400462962</v>
      </c>
      <c r="P1944" t="s">
        <v>119</v>
      </c>
    </row>
    <row r="1945" spans="1:16" x14ac:dyDescent="0.3">
      <c r="A1945" t="s">
        <v>25</v>
      </c>
      <c r="B1945" s="1">
        <v>45582.516400462962</v>
      </c>
      <c r="C1945" t="str">
        <f t="shared" si="381"/>
        <v>41</v>
      </c>
      <c r="D1945" t="s">
        <v>120</v>
      </c>
      <c r="E1945" t="s">
        <v>116</v>
      </c>
      <c r="F1945" t="s">
        <v>117</v>
      </c>
      <c r="H1945" t="s">
        <v>570</v>
      </c>
      <c r="I1945" t="str">
        <f>"101050001989059"</f>
        <v>101050001989059</v>
      </c>
      <c r="J1945" t="str">
        <f t="shared" si="382"/>
        <v>514988</v>
      </c>
      <c r="K1945" t="s">
        <v>94</v>
      </c>
      <c r="L1945">
        <v>49</v>
      </c>
      <c r="M1945">
        <v>49</v>
      </c>
      <c r="N1945">
        <v>0</v>
      </c>
      <c r="O1945" s="1">
        <v>45582.516400462962</v>
      </c>
      <c r="P1945" t="s">
        <v>119</v>
      </c>
    </row>
    <row r="1946" spans="1:16" x14ac:dyDescent="0.3">
      <c r="A1946" t="s">
        <v>25</v>
      </c>
      <c r="B1946" s="1">
        <v>45582.516400462962</v>
      </c>
      <c r="C1946" t="str">
        <f t="shared" si="381"/>
        <v>41</v>
      </c>
      <c r="D1946" t="s">
        <v>120</v>
      </c>
      <c r="E1946" t="s">
        <v>116</v>
      </c>
      <c r="F1946" t="s">
        <v>117</v>
      </c>
      <c r="H1946" t="s">
        <v>570</v>
      </c>
      <c r="I1946" t="str">
        <f>"101050001989162"</f>
        <v>101050001989162</v>
      </c>
      <c r="J1946" t="str">
        <f t="shared" si="382"/>
        <v>514988</v>
      </c>
      <c r="K1946" t="s">
        <v>94</v>
      </c>
      <c r="L1946">
        <v>49</v>
      </c>
      <c r="M1946">
        <v>49</v>
      </c>
      <c r="N1946">
        <v>0</v>
      </c>
      <c r="O1946" s="1">
        <v>45582.516400462962</v>
      </c>
      <c r="P1946" t="s">
        <v>119</v>
      </c>
    </row>
    <row r="1947" spans="1:16" x14ac:dyDescent="0.3">
      <c r="A1947" t="s">
        <v>25</v>
      </c>
      <c r="B1947" s="1">
        <v>45582.516400462962</v>
      </c>
      <c r="C1947" t="str">
        <f t="shared" si="381"/>
        <v>41</v>
      </c>
      <c r="D1947" t="s">
        <v>120</v>
      </c>
      <c r="E1947" t="s">
        <v>116</v>
      </c>
      <c r="F1947" t="s">
        <v>117</v>
      </c>
      <c r="H1947" t="s">
        <v>570</v>
      </c>
      <c r="I1947" t="str">
        <f>"101050001989158"</f>
        <v>101050001989158</v>
      </c>
      <c r="J1947" t="str">
        <f t="shared" si="382"/>
        <v>514988</v>
      </c>
      <c r="K1947" t="s">
        <v>94</v>
      </c>
      <c r="L1947">
        <v>49</v>
      </c>
      <c r="M1947">
        <v>49</v>
      </c>
      <c r="N1947">
        <v>0</v>
      </c>
      <c r="O1947" s="1">
        <v>45582.516400462962</v>
      </c>
      <c r="P1947" t="s">
        <v>119</v>
      </c>
    </row>
    <row r="1948" spans="1:16" x14ac:dyDescent="0.3">
      <c r="A1948" t="s">
        <v>25</v>
      </c>
      <c r="B1948" s="1">
        <v>45582.516400462962</v>
      </c>
      <c r="C1948" t="str">
        <f t="shared" si="381"/>
        <v>41</v>
      </c>
      <c r="D1948" t="s">
        <v>120</v>
      </c>
      <c r="E1948" t="s">
        <v>116</v>
      </c>
      <c r="F1948" t="s">
        <v>117</v>
      </c>
      <c r="H1948" t="s">
        <v>570</v>
      </c>
      <c r="I1948" t="str">
        <f>"101050001989160"</f>
        <v>101050001989160</v>
      </c>
      <c r="J1948" t="str">
        <f t="shared" si="382"/>
        <v>514988</v>
      </c>
      <c r="K1948" t="s">
        <v>94</v>
      </c>
      <c r="L1948">
        <v>49</v>
      </c>
      <c r="M1948">
        <v>49</v>
      </c>
      <c r="N1948">
        <v>0</v>
      </c>
      <c r="O1948" s="1">
        <v>45582.516400462962</v>
      </c>
      <c r="P1948" t="s">
        <v>119</v>
      </c>
    </row>
    <row r="1949" spans="1:16" x14ac:dyDescent="0.3">
      <c r="A1949" t="s">
        <v>25</v>
      </c>
      <c r="B1949" s="1">
        <v>45582.516388888886</v>
      </c>
      <c r="C1949" t="str">
        <f t="shared" si="381"/>
        <v>41</v>
      </c>
      <c r="D1949" t="s">
        <v>120</v>
      </c>
      <c r="E1949" t="s">
        <v>116</v>
      </c>
      <c r="F1949" t="s">
        <v>117</v>
      </c>
      <c r="H1949" t="s">
        <v>570</v>
      </c>
      <c r="I1949" t="str">
        <f>"101050001989054"</f>
        <v>101050001989054</v>
      </c>
      <c r="J1949" t="str">
        <f t="shared" si="382"/>
        <v>514988</v>
      </c>
      <c r="K1949" t="s">
        <v>94</v>
      </c>
      <c r="L1949">
        <v>49</v>
      </c>
      <c r="M1949">
        <v>49</v>
      </c>
      <c r="N1949">
        <v>0</v>
      </c>
      <c r="O1949" s="1">
        <v>45582.516388888886</v>
      </c>
      <c r="P1949" t="s">
        <v>119</v>
      </c>
    </row>
    <row r="1950" spans="1:16" x14ac:dyDescent="0.3">
      <c r="A1950" t="s">
        <v>25</v>
      </c>
      <c r="B1950" s="1">
        <v>45582.516388888886</v>
      </c>
      <c r="C1950" t="str">
        <f t="shared" si="381"/>
        <v>41</v>
      </c>
      <c r="D1950" t="s">
        <v>120</v>
      </c>
      <c r="E1950" t="s">
        <v>116</v>
      </c>
      <c r="F1950" t="s">
        <v>117</v>
      </c>
      <c r="H1950" t="s">
        <v>570</v>
      </c>
      <c r="I1950" t="str">
        <f>"101050001989058"</f>
        <v>101050001989058</v>
      </c>
      <c r="J1950" t="str">
        <f t="shared" si="382"/>
        <v>514988</v>
      </c>
      <c r="K1950" t="s">
        <v>94</v>
      </c>
      <c r="L1950">
        <v>49</v>
      </c>
      <c r="M1950">
        <v>49</v>
      </c>
      <c r="N1950">
        <v>0</v>
      </c>
      <c r="O1950" s="1">
        <v>45582.516388888886</v>
      </c>
      <c r="P1950" t="s">
        <v>119</v>
      </c>
    </row>
    <row r="1951" spans="1:16" x14ac:dyDescent="0.3">
      <c r="A1951" t="s">
        <v>25</v>
      </c>
      <c r="B1951" s="1">
        <v>45582.514282407406</v>
      </c>
      <c r="C1951" t="str">
        <f t="shared" ref="C1951:C1960" si="383">"38"</f>
        <v>38</v>
      </c>
      <c r="D1951" t="s">
        <v>115</v>
      </c>
      <c r="E1951" t="s">
        <v>116</v>
      </c>
      <c r="F1951" t="s">
        <v>117</v>
      </c>
      <c r="H1951" t="s">
        <v>571</v>
      </c>
      <c r="L1951">
        <v>0</v>
      </c>
      <c r="M1951">
        <v>0</v>
      </c>
      <c r="N1951">
        <v>0</v>
      </c>
      <c r="O1951" s="1">
        <v>45582.514282407406</v>
      </c>
      <c r="P1951" t="s">
        <v>125</v>
      </c>
    </row>
    <row r="1952" spans="1:16" x14ac:dyDescent="0.3">
      <c r="A1952" t="s">
        <v>25</v>
      </c>
      <c r="B1952" s="1">
        <v>45582.514224537037</v>
      </c>
      <c r="C1952" t="str">
        <f t="shared" si="383"/>
        <v>38</v>
      </c>
      <c r="D1952" t="s">
        <v>115</v>
      </c>
      <c r="E1952" t="s">
        <v>116</v>
      </c>
      <c r="F1952" t="s">
        <v>117</v>
      </c>
      <c r="H1952" t="s">
        <v>572</v>
      </c>
      <c r="L1952">
        <v>0</v>
      </c>
      <c r="M1952">
        <v>0</v>
      </c>
      <c r="N1952">
        <v>0</v>
      </c>
      <c r="O1952" s="1">
        <v>45582.514224537037</v>
      </c>
      <c r="P1952" t="s">
        <v>125</v>
      </c>
    </row>
    <row r="1953" spans="1:16" x14ac:dyDescent="0.3">
      <c r="A1953" t="s">
        <v>25</v>
      </c>
      <c r="B1953" s="1">
        <v>45582.514074074075</v>
      </c>
      <c r="C1953" t="str">
        <f t="shared" si="383"/>
        <v>38</v>
      </c>
      <c r="D1953" t="s">
        <v>115</v>
      </c>
      <c r="E1953" t="s">
        <v>116</v>
      </c>
      <c r="F1953" t="s">
        <v>117</v>
      </c>
      <c r="H1953" t="s">
        <v>571</v>
      </c>
      <c r="L1953">
        <v>0</v>
      </c>
      <c r="M1953">
        <v>0</v>
      </c>
      <c r="N1953">
        <v>0</v>
      </c>
      <c r="O1953" s="1">
        <v>45582.514074074075</v>
      </c>
      <c r="P1953" t="s">
        <v>125</v>
      </c>
    </row>
    <row r="1954" spans="1:16" x14ac:dyDescent="0.3">
      <c r="A1954" t="s">
        <v>25</v>
      </c>
      <c r="B1954" s="1">
        <v>45582.514016203706</v>
      </c>
      <c r="C1954" t="str">
        <f t="shared" si="383"/>
        <v>38</v>
      </c>
      <c r="D1954" t="s">
        <v>115</v>
      </c>
      <c r="E1954" t="s">
        <v>116</v>
      </c>
      <c r="F1954" t="s">
        <v>117</v>
      </c>
      <c r="H1954" t="s">
        <v>573</v>
      </c>
      <c r="L1954">
        <v>0</v>
      </c>
      <c r="M1954">
        <v>0</v>
      </c>
      <c r="N1954">
        <v>0</v>
      </c>
      <c r="O1954" s="1">
        <v>45582.514016203706</v>
      </c>
      <c r="P1954" t="s">
        <v>125</v>
      </c>
    </row>
    <row r="1955" spans="1:16" x14ac:dyDescent="0.3">
      <c r="A1955" t="s">
        <v>25</v>
      </c>
      <c r="B1955" s="1">
        <v>45582.513969907406</v>
      </c>
      <c r="C1955" t="str">
        <f t="shared" si="383"/>
        <v>38</v>
      </c>
      <c r="D1955" t="s">
        <v>115</v>
      </c>
      <c r="E1955" t="s">
        <v>116</v>
      </c>
      <c r="F1955" t="s">
        <v>117</v>
      </c>
      <c r="H1955" t="s">
        <v>574</v>
      </c>
      <c r="L1955">
        <v>0</v>
      </c>
      <c r="M1955">
        <v>0</v>
      </c>
      <c r="N1955">
        <v>0</v>
      </c>
      <c r="O1955" s="1">
        <v>45582.513969907406</v>
      </c>
      <c r="P1955" t="s">
        <v>125</v>
      </c>
    </row>
    <row r="1956" spans="1:16" x14ac:dyDescent="0.3">
      <c r="A1956" t="s">
        <v>25</v>
      </c>
      <c r="B1956" s="1">
        <v>45582.513912037037</v>
      </c>
      <c r="C1956" t="str">
        <f t="shared" si="383"/>
        <v>38</v>
      </c>
      <c r="D1956" t="s">
        <v>115</v>
      </c>
      <c r="E1956" t="s">
        <v>116</v>
      </c>
      <c r="F1956" t="s">
        <v>117</v>
      </c>
      <c r="H1956" t="s">
        <v>575</v>
      </c>
      <c r="L1956">
        <v>0</v>
      </c>
      <c r="M1956">
        <v>0</v>
      </c>
      <c r="N1956">
        <v>0</v>
      </c>
      <c r="O1956" s="1">
        <v>45582.513912037037</v>
      </c>
      <c r="P1956" t="s">
        <v>125</v>
      </c>
    </row>
    <row r="1957" spans="1:16" x14ac:dyDescent="0.3">
      <c r="A1957" t="s">
        <v>25</v>
      </c>
      <c r="B1957" s="1">
        <v>45582.513854166667</v>
      </c>
      <c r="C1957" t="str">
        <f t="shared" si="383"/>
        <v>38</v>
      </c>
      <c r="D1957" t="s">
        <v>115</v>
      </c>
      <c r="E1957" t="s">
        <v>116</v>
      </c>
      <c r="F1957" t="s">
        <v>117</v>
      </c>
      <c r="H1957" t="s">
        <v>576</v>
      </c>
      <c r="L1957">
        <v>0</v>
      </c>
      <c r="M1957">
        <v>0</v>
      </c>
      <c r="N1957">
        <v>0</v>
      </c>
      <c r="O1957" s="1">
        <v>45582.513854166667</v>
      </c>
      <c r="P1957" t="s">
        <v>125</v>
      </c>
    </row>
    <row r="1958" spans="1:16" x14ac:dyDescent="0.3">
      <c r="A1958" t="s">
        <v>25</v>
      </c>
      <c r="B1958" s="1">
        <v>45582.513807870368</v>
      </c>
      <c r="C1958" t="str">
        <f t="shared" si="383"/>
        <v>38</v>
      </c>
      <c r="D1958" t="s">
        <v>115</v>
      </c>
      <c r="E1958" t="s">
        <v>116</v>
      </c>
      <c r="F1958" t="s">
        <v>117</v>
      </c>
      <c r="H1958" t="s">
        <v>577</v>
      </c>
      <c r="L1958">
        <v>0</v>
      </c>
      <c r="M1958">
        <v>0</v>
      </c>
      <c r="N1958">
        <v>0</v>
      </c>
      <c r="O1958" s="1">
        <v>45582.513807870368</v>
      </c>
      <c r="P1958" t="s">
        <v>125</v>
      </c>
    </row>
    <row r="1959" spans="1:16" x14ac:dyDescent="0.3">
      <c r="A1959" t="s">
        <v>25</v>
      </c>
      <c r="B1959" s="1">
        <v>45582.513761574075</v>
      </c>
      <c r="C1959" t="str">
        <f t="shared" si="383"/>
        <v>38</v>
      </c>
      <c r="D1959" t="s">
        <v>115</v>
      </c>
      <c r="E1959" t="s">
        <v>116</v>
      </c>
      <c r="F1959" t="s">
        <v>117</v>
      </c>
      <c r="H1959" t="s">
        <v>578</v>
      </c>
      <c r="L1959">
        <v>0</v>
      </c>
      <c r="M1959">
        <v>0</v>
      </c>
      <c r="N1959">
        <v>0</v>
      </c>
      <c r="O1959" s="1">
        <v>45582.513761574075</v>
      </c>
      <c r="P1959" t="s">
        <v>125</v>
      </c>
    </row>
    <row r="1960" spans="1:16" x14ac:dyDescent="0.3">
      <c r="A1960" t="s">
        <v>25</v>
      </c>
      <c r="B1960" s="1">
        <v>45582.513182870367</v>
      </c>
      <c r="C1960" t="str">
        <f t="shared" si="383"/>
        <v>38</v>
      </c>
      <c r="D1960" t="s">
        <v>115</v>
      </c>
      <c r="E1960" t="s">
        <v>116</v>
      </c>
      <c r="F1960" t="s">
        <v>117</v>
      </c>
      <c r="H1960" t="s">
        <v>579</v>
      </c>
      <c r="L1960">
        <v>0</v>
      </c>
      <c r="M1960">
        <v>0</v>
      </c>
      <c r="N1960">
        <v>0</v>
      </c>
      <c r="O1960" s="1">
        <v>45582.513182870367</v>
      </c>
      <c r="P1960" t="s">
        <v>122</v>
      </c>
    </row>
    <row r="1961" spans="1:16" x14ac:dyDescent="0.3">
      <c r="A1961" t="s">
        <v>25</v>
      </c>
      <c r="B1961" s="1">
        <v>45582.513182870367</v>
      </c>
      <c r="C1961" t="str">
        <f>"41"</f>
        <v>41</v>
      </c>
      <c r="D1961" t="s">
        <v>120</v>
      </c>
      <c r="E1961" t="s">
        <v>116</v>
      </c>
      <c r="F1961" t="s">
        <v>117</v>
      </c>
      <c r="H1961" t="s">
        <v>579</v>
      </c>
      <c r="I1961" t="str">
        <f>"101050002000450"</f>
        <v>101050002000450</v>
      </c>
      <c r="J1961" t="str">
        <f>"31088"</f>
        <v>31088</v>
      </c>
      <c r="K1961" t="s">
        <v>75</v>
      </c>
      <c r="L1961">
        <v>49</v>
      </c>
      <c r="M1961">
        <v>49</v>
      </c>
      <c r="N1961">
        <v>0</v>
      </c>
      <c r="O1961" s="1">
        <v>45582.513182870367</v>
      </c>
      <c r="P1961" t="s">
        <v>122</v>
      </c>
    </row>
    <row r="1962" spans="1:16" x14ac:dyDescent="0.3">
      <c r="A1962" t="s">
        <v>25</v>
      </c>
      <c r="B1962" s="1">
        <v>45582.513182870367</v>
      </c>
      <c r="C1962" t="str">
        <f>"41"</f>
        <v>41</v>
      </c>
      <c r="D1962" t="s">
        <v>120</v>
      </c>
      <c r="E1962" t="s">
        <v>116</v>
      </c>
      <c r="F1962" t="s">
        <v>117</v>
      </c>
      <c r="H1962" t="s">
        <v>579</v>
      </c>
      <c r="I1962" t="str">
        <f>"101050002000209"</f>
        <v>101050002000209</v>
      </c>
      <c r="J1962" t="str">
        <f>"31088"</f>
        <v>31088</v>
      </c>
      <c r="K1962" t="s">
        <v>75</v>
      </c>
      <c r="L1962">
        <v>49</v>
      </c>
      <c r="M1962">
        <v>49</v>
      </c>
      <c r="N1962">
        <v>0</v>
      </c>
      <c r="O1962" s="1">
        <v>45582.513182870367</v>
      </c>
      <c r="P1962" t="s">
        <v>122</v>
      </c>
    </row>
    <row r="1963" spans="1:16" x14ac:dyDescent="0.3">
      <c r="A1963" t="s">
        <v>25</v>
      </c>
      <c r="B1963" s="1">
        <v>45582.513182870367</v>
      </c>
      <c r="C1963" t="str">
        <f>"41"</f>
        <v>41</v>
      </c>
      <c r="D1963" t="s">
        <v>120</v>
      </c>
      <c r="E1963" t="s">
        <v>116</v>
      </c>
      <c r="F1963" t="s">
        <v>117</v>
      </c>
      <c r="H1963" t="s">
        <v>579</v>
      </c>
      <c r="I1963" t="str">
        <f>"101050002000202"</f>
        <v>101050002000202</v>
      </c>
      <c r="J1963" t="str">
        <f>"31088"</f>
        <v>31088</v>
      </c>
      <c r="K1963" t="s">
        <v>75</v>
      </c>
      <c r="L1963">
        <v>49</v>
      </c>
      <c r="M1963">
        <v>49</v>
      </c>
      <c r="N1963">
        <v>0</v>
      </c>
      <c r="O1963" s="1">
        <v>45582.513182870367</v>
      </c>
      <c r="P1963" t="s">
        <v>122</v>
      </c>
    </row>
    <row r="1964" spans="1:16" x14ac:dyDescent="0.3">
      <c r="A1964" t="s">
        <v>25</v>
      </c>
      <c r="B1964" s="1">
        <v>45582.513182870367</v>
      </c>
      <c r="C1964" t="str">
        <f>"41"</f>
        <v>41</v>
      </c>
      <c r="D1964" t="s">
        <v>120</v>
      </c>
      <c r="E1964" t="s">
        <v>116</v>
      </c>
      <c r="F1964" t="s">
        <v>117</v>
      </c>
      <c r="H1964" t="s">
        <v>579</v>
      </c>
      <c r="I1964" t="str">
        <f>"101050002000207"</f>
        <v>101050002000207</v>
      </c>
      <c r="J1964" t="str">
        <f>"31088"</f>
        <v>31088</v>
      </c>
      <c r="K1964" t="s">
        <v>75</v>
      </c>
      <c r="L1964">
        <v>49</v>
      </c>
      <c r="M1964">
        <v>49</v>
      </c>
      <c r="N1964">
        <v>0</v>
      </c>
      <c r="O1964" s="1">
        <v>45582.513182870367</v>
      </c>
      <c r="P1964" t="s">
        <v>122</v>
      </c>
    </row>
    <row r="1965" spans="1:16" x14ac:dyDescent="0.3">
      <c r="A1965" t="s">
        <v>25</v>
      </c>
      <c r="B1965" s="1">
        <v>45582.513819444444</v>
      </c>
      <c r="C1965" t="str">
        <f>"38"</f>
        <v>38</v>
      </c>
      <c r="D1965" t="s">
        <v>115</v>
      </c>
      <c r="E1965" t="s">
        <v>116</v>
      </c>
      <c r="F1965" t="s">
        <v>117</v>
      </c>
      <c r="H1965" t="s">
        <v>580</v>
      </c>
      <c r="L1965">
        <v>0</v>
      </c>
      <c r="M1965">
        <v>0</v>
      </c>
      <c r="N1965">
        <v>0</v>
      </c>
      <c r="O1965" s="1">
        <v>45582.513819444444</v>
      </c>
      <c r="P1965" t="s">
        <v>119</v>
      </c>
    </row>
    <row r="1966" spans="1:16" x14ac:dyDescent="0.3">
      <c r="A1966" t="s">
        <v>25</v>
      </c>
      <c r="B1966" s="1">
        <v>45582.513819444444</v>
      </c>
      <c r="C1966" t="str">
        <f>"41"</f>
        <v>41</v>
      </c>
      <c r="D1966" t="s">
        <v>120</v>
      </c>
      <c r="E1966" t="s">
        <v>116</v>
      </c>
      <c r="F1966" t="s">
        <v>117</v>
      </c>
      <c r="H1966" t="s">
        <v>580</v>
      </c>
      <c r="I1966" t="str">
        <f>"101570001106145"</f>
        <v>101570001106145</v>
      </c>
      <c r="J1966" t="str">
        <f>"125031"</f>
        <v>125031</v>
      </c>
      <c r="K1966" t="s">
        <v>38</v>
      </c>
      <c r="L1966">
        <v>49</v>
      </c>
      <c r="M1966">
        <v>49</v>
      </c>
      <c r="N1966">
        <v>0</v>
      </c>
      <c r="O1966" s="1">
        <v>45582.513819444444</v>
      </c>
      <c r="P1966" t="s">
        <v>119</v>
      </c>
    </row>
    <row r="1967" spans="1:16" x14ac:dyDescent="0.3">
      <c r="A1967" t="s">
        <v>25</v>
      </c>
      <c r="B1967" s="1">
        <v>45582.513819444444</v>
      </c>
      <c r="C1967" t="str">
        <f>"41"</f>
        <v>41</v>
      </c>
      <c r="D1967" t="s">
        <v>120</v>
      </c>
      <c r="E1967" t="s">
        <v>116</v>
      </c>
      <c r="F1967" t="s">
        <v>117</v>
      </c>
      <c r="H1967" t="s">
        <v>580</v>
      </c>
      <c r="I1967" t="str">
        <f>"101570001106146"</f>
        <v>101570001106146</v>
      </c>
      <c r="J1967" t="str">
        <f>"125031"</f>
        <v>125031</v>
      </c>
      <c r="K1967" t="s">
        <v>38</v>
      </c>
      <c r="L1967">
        <v>49</v>
      </c>
      <c r="M1967">
        <v>49</v>
      </c>
      <c r="N1967">
        <v>0</v>
      </c>
      <c r="O1967" s="1">
        <v>45582.513819444444</v>
      </c>
      <c r="P1967" t="s">
        <v>119</v>
      </c>
    </row>
    <row r="1968" spans="1:16" x14ac:dyDescent="0.3">
      <c r="A1968" t="s">
        <v>25</v>
      </c>
      <c r="B1968" s="1">
        <v>45582.513240740744</v>
      </c>
      <c r="C1968" t="str">
        <f>"38"</f>
        <v>38</v>
      </c>
      <c r="D1968" t="s">
        <v>115</v>
      </c>
      <c r="E1968" t="s">
        <v>116</v>
      </c>
      <c r="F1968" t="s">
        <v>117</v>
      </c>
      <c r="H1968" t="s">
        <v>581</v>
      </c>
      <c r="L1968">
        <v>0</v>
      </c>
      <c r="M1968">
        <v>0</v>
      </c>
      <c r="N1968">
        <v>0</v>
      </c>
      <c r="O1968" s="1">
        <v>45582.513240740744</v>
      </c>
      <c r="P1968" t="s">
        <v>119</v>
      </c>
    </row>
    <row r="1969" spans="1:16" x14ac:dyDescent="0.3">
      <c r="A1969" t="s">
        <v>25</v>
      </c>
      <c r="B1969" s="1">
        <v>45582.513240740744</v>
      </c>
      <c r="C1969" t="str">
        <f t="shared" ref="C1969:C1975" si="384">"41"</f>
        <v>41</v>
      </c>
      <c r="D1969" t="s">
        <v>120</v>
      </c>
      <c r="E1969" t="s">
        <v>116</v>
      </c>
      <c r="F1969" t="s">
        <v>117</v>
      </c>
      <c r="H1969" t="s">
        <v>581</v>
      </c>
      <c r="I1969" t="str">
        <f>"101050002025345"</f>
        <v>101050002025345</v>
      </c>
      <c r="J1969" t="str">
        <f t="shared" ref="J1969:J1975" si="385">"514846"</f>
        <v>514846</v>
      </c>
      <c r="K1969" t="s">
        <v>18</v>
      </c>
      <c r="L1969">
        <v>49</v>
      </c>
      <c r="M1969">
        <v>49</v>
      </c>
      <c r="N1969">
        <v>0</v>
      </c>
      <c r="O1969" s="1">
        <v>45582.513240740744</v>
      </c>
      <c r="P1969" t="s">
        <v>119</v>
      </c>
    </row>
    <row r="1970" spans="1:16" x14ac:dyDescent="0.3">
      <c r="A1970" t="s">
        <v>25</v>
      </c>
      <c r="B1970" s="1">
        <v>45582.513229166667</v>
      </c>
      <c r="C1970" t="str">
        <f t="shared" si="384"/>
        <v>41</v>
      </c>
      <c r="D1970" t="s">
        <v>120</v>
      </c>
      <c r="E1970" t="s">
        <v>116</v>
      </c>
      <c r="F1970" t="s">
        <v>117</v>
      </c>
      <c r="H1970" t="s">
        <v>581</v>
      </c>
      <c r="I1970" t="str">
        <f>"101050002016666"</f>
        <v>101050002016666</v>
      </c>
      <c r="J1970" t="str">
        <f t="shared" si="385"/>
        <v>514846</v>
      </c>
      <c r="K1970" t="s">
        <v>18</v>
      </c>
      <c r="L1970">
        <v>49</v>
      </c>
      <c r="M1970">
        <v>49</v>
      </c>
      <c r="N1970">
        <v>0</v>
      </c>
      <c r="O1970" s="1">
        <v>45582.513229166667</v>
      </c>
      <c r="P1970" t="s">
        <v>119</v>
      </c>
    </row>
    <row r="1971" spans="1:16" x14ac:dyDescent="0.3">
      <c r="A1971" t="s">
        <v>25</v>
      </c>
      <c r="B1971" s="1">
        <v>45582.513229166667</v>
      </c>
      <c r="C1971" t="str">
        <f t="shared" si="384"/>
        <v>41</v>
      </c>
      <c r="D1971" t="s">
        <v>120</v>
      </c>
      <c r="E1971" t="s">
        <v>116</v>
      </c>
      <c r="F1971" t="s">
        <v>117</v>
      </c>
      <c r="H1971" t="s">
        <v>581</v>
      </c>
      <c r="I1971" t="str">
        <f>"101050001998473"</f>
        <v>101050001998473</v>
      </c>
      <c r="J1971" t="str">
        <f t="shared" si="385"/>
        <v>514846</v>
      </c>
      <c r="K1971" t="s">
        <v>18</v>
      </c>
      <c r="L1971">
        <v>49</v>
      </c>
      <c r="M1971">
        <v>49</v>
      </c>
      <c r="N1971">
        <v>0</v>
      </c>
      <c r="O1971" s="1">
        <v>45582.513229166667</v>
      </c>
      <c r="P1971" t="s">
        <v>119</v>
      </c>
    </row>
    <row r="1972" spans="1:16" x14ac:dyDescent="0.3">
      <c r="A1972" t="s">
        <v>25</v>
      </c>
      <c r="B1972" s="1">
        <v>45582.513229166667</v>
      </c>
      <c r="C1972" t="str">
        <f t="shared" si="384"/>
        <v>41</v>
      </c>
      <c r="D1972" t="s">
        <v>120</v>
      </c>
      <c r="E1972" t="s">
        <v>116</v>
      </c>
      <c r="F1972" t="s">
        <v>117</v>
      </c>
      <c r="H1972" t="s">
        <v>581</v>
      </c>
      <c r="I1972" t="str">
        <f>"101050001998477"</f>
        <v>101050001998477</v>
      </c>
      <c r="J1972" t="str">
        <f t="shared" si="385"/>
        <v>514846</v>
      </c>
      <c r="K1972" t="s">
        <v>18</v>
      </c>
      <c r="L1972">
        <v>49</v>
      </c>
      <c r="M1972">
        <v>49</v>
      </c>
      <c r="N1972">
        <v>0</v>
      </c>
      <c r="O1972" s="1">
        <v>45582.513229166667</v>
      </c>
      <c r="P1972" t="s">
        <v>119</v>
      </c>
    </row>
    <row r="1973" spans="1:16" x14ac:dyDescent="0.3">
      <c r="A1973" t="s">
        <v>25</v>
      </c>
      <c r="B1973" s="1">
        <v>45582.513229166667</v>
      </c>
      <c r="C1973" t="str">
        <f t="shared" si="384"/>
        <v>41</v>
      </c>
      <c r="D1973" t="s">
        <v>120</v>
      </c>
      <c r="E1973" t="s">
        <v>116</v>
      </c>
      <c r="F1973" t="s">
        <v>117</v>
      </c>
      <c r="H1973" t="s">
        <v>581</v>
      </c>
      <c r="I1973" t="str">
        <f>"101050001998474"</f>
        <v>101050001998474</v>
      </c>
      <c r="J1973" t="str">
        <f t="shared" si="385"/>
        <v>514846</v>
      </c>
      <c r="K1973" t="s">
        <v>18</v>
      </c>
      <c r="L1973">
        <v>49</v>
      </c>
      <c r="M1973">
        <v>49</v>
      </c>
      <c r="N1973">
        <v>0</v>
      </c>
      <c r="O1973" s="1">
        <v>45582.513229166667</v>
      </c>
      <c r="P1973" t="s">
        <v>119</v>
      </c>
    </row>
    <row r="1974" spans="1:16" x14ac:dyDescent="0.3">
      <c r="A1974" t="s">
        <v>25</v>
      </c>
      <c r="B1974" s="1">
        <v>45582.513229166667</v>
      </c>
      <c r="C1974" t="str">
        <f t="shared" si="384"/>
        <v>41</v>
      </c>
      <c r="D1974" t="s">
        <v>120</v>
      </c>
      <c r="E1974" t="s">
        <v>116</v>
      </c>
      <c r="F1974" t="s">
        <v>117</v>
      </c>
      <c r="H1974" t="s">
        <v>581</v>
      </c>
      <c r="I1974" t="str">
        <f>"101050001998475"</f>
        <v>101050001998475</v>
      </c>
      <c r="J1974" t="str">
        <f t="shared" si="385"/>
        <v>514846</v>
      </c>
      <c r="K1974" t="s">
        <v>18</v>
      </c>
      <c r="L1974">
        <v>49</v>
      </c>
      <c r="M1974">
        <v>49</v>
      </c>
      <c r="N1974">
        <v>0</v>
      </c>
      <c r="O1974" s="1">
        <v>45582.513229166667</v>
      </c>
      <c r="P1974" t="s">
        <v>119</v>
      </c>
    </row>
    <row r="1975" spans="1:16" x14ac:dyDescent="0.3">
      <c r="A1975" t="s">
        <v>25</v>
      </c>
      <c r="B1975" s="1">
        <v>45582.51321759259</v>
      </c>
      <c r="C1975" t="str">
        <f t="shared" si="384"/>
        <v>41</v>
      </c>
      <c r="D1975" t="s">
        <v>120</v>
      </c>
      <c r="E1975" t="s">
        <v>116</v>
      </c>
      <c r="F1975" t="s">
        <v>117</v>
      </c>
      <c r="H1975" t="s">
        <v>581</v>
      </c>
      <c r="I1975" t="str">
        <f>"101050001998711"</f>
        <v>101050001998711</v>
      </c>
      <c r="J1975" t="str">
        <f t="shared" si="385"/>
        <v>514846</v>
      </c>
      <c r="K1975" t="s">
        <v>18</v>
      </c>
      <c r="L1975">
        <v>49</v>
      </c>
      <c r="M1975">
        <v>49</v>
      </c>
      <c r="N1975">
        <v>0</v>
      </c>
      <c r="O1975" s="1">
        <v>45582.51321759259</v>
      </c>
      <c r="P1975" t="s">
        <v>119</v>
      </c>
    </row>
    <row r="1976" spans="1:16" x14ac:dyDescent="0.3">
      <c r="A1976" t="s">
        <v>25</v>
      </c>
      <c r="B1976" s="1">
        <v>45582.513090277775</v>
      </c>
      <c r="C1976" t="str">
        <f>"38"</f>
        <v>38</v>
      </c>
      <c r="D1976" t="s">
        <v>115</v>
      </c>
      <c r="E1976" t="s">
        <v>116</v>
      </c>
      <c r="F1976" t="s">
        <v>117</v>
      </c>
      <c r="H1976" t="s">
        <v>582</v>
      </c>
      <c r="L1976">
        <v>0</v>
      </c>
      <c r="M1976">
        <v>0</v>
      </c>
      <c r="N1976">
        <v>0</v>
      </c>
      <c r="O1976" s="1">
        <v>45582.513090277775</v>
      </c>
      <c r="P1976" t="s">
        <v>132</v>
      </c>
    </row>
    <row r="1977" spans="1:16" x14ac:dyDescent="0.3">
      <c r="A1977" t="s">
        <v>25</v>
      </c>
      <c r="B1977" s="1">
        <v>45582.513090277775</v>
      </c>
      <c r="C1977" t="str">
        <f t="shared" ref="C1977:C1983" si="386">"41"</f>
        <v>41</v>
      </c>
      <c r="D1977" t="s">
        <v>120</v>
      </c>
      <c r="E1977" t="s">
        <v>116</v>
      </c>
      <c r="F1977" t="s">
        <v>117</v>
      </c>
      <c r="H1977" t="s">
        <v>582</v>
      </c>
      <c r="I1977" t="str">
        <f>"101050002025733"</f>
        <v>101050002025733</v>
      </c>
      <c r="J1977" t="str">
        <f t="shared" ref="J1977:J1983" si="387">"514483"</f>
        <v>514483</v>
      </c>
      <c r="K1977" t="s">
        <v>84</v>
      </c>
      <c r="L1977">
        <v>49</v>
      </c>
      <c r="M1977">
        <v>49</v>
      </c>
      <c r="N1977">
        <v>0</v>
      </c>
      <c r="O1977" s="1">
        <v>45582.513090277775</v>
      </c>
      <c r="P1977" t="s">
        <v>132</v>
      </c>
    </row>
    <row r="1978" spans="1:16" x14ac:dyDescent="0.3">
      <c r="A1978" t="s">
        <v>25</v>
      </c>
      <c r="B1978" s="1">
        <v>45582.513090277775</v>
      </c>
      <c r="C1978" t="str">
        <f t="shared" si="386"/>
        <v>41</v>
      </c>
      <c r="D1978" t="s">
        <v>120</v>
      </c>
      <c r="E1978" t="s">
        <v>116</v>
      </c>
      <c r="F1978" t="s">
        <v>117</v>
      </c>
      <c r="H1978" t="s">
        <v>582</v>
      </c>
      <c r="I1978" t="str">
        <f>"101050002025696"</f>
        <v>101050002025696</v>
      </c>
      <c r="J1978" t="str">
        <f t="shared" si="387"/>
        <v>514483</v>
      </c>
      <c r="K1978" t="s">
        <v>84</v>
      </c>
      <c r="L1978">
        <v>49</v>
      </c>
      <c r="M1978">
        <v>49</v>
      </c>
      <c r="N1978">
        <v>0</v>
      </c>
      <c r="O1978" s="1">
        <v>45582.513090277775</v>
      </c>
      <c r="P1978" t="s">
        <v>132</v>
      </c>
    </row>
    <row r="1979" spans="1:16" x14ac:dyDescent="0.3">
      <c r="A1979" t="s">
        <v>25</v>
      </c>
      <c r="B1979" s="1">
        <v>45582.513078703705</v>
      </c>
      <c r="C1979" t="str">
        <f t="shared" si="386"/>
        <v>41</v>
      </c>
      <c r="D1979" t="s">
        <v>120</v>
      </c>
      <c r="E1979" t="s">
        <v>116</v>
      </c>
      <c r="F1979" t="s">
        <v>117</v>
      </c>
      <c r="H1979" t="s">
        <v>582</v>
      </c>
      <c r="I1979" t="str">
        <f>"101050002025580"</f>
        <v>101050002025580</v>
      </c>
      <c r="J1979" t="str">
        <f t="shared" si="387"/>
        <v>514483</v>
      </c>
      <c r="K1979" t="s">
        <v>84</v>
      </c>
      <c r="L1979">
        <v>49</v>
      </c>
      <c r="M1979">
        <v>49</v>
      </c>
      <c r="N1979">
        <v>0</v>
      </c>
      <c r="O1979" s="1">
        <v>45582.513078703705</v>
      </c>
      <c r="P1979" t="s">
        <v>132</v>
      </c>
    </row>
    <row r="1980" spans="1:16" x14ac:dyDescent="0.3">
      <c r="A1980" t="s">
        <v>25</v>
      </c>
      <c r="B1980" s="1">
        <v>45582.513078703705</v>
      </c>
      <c r="C1980" t="str">
        <f t="shared" si="386"/>
        <v>41</v>
      </c>
      <c r="D1980" t="s">
        <v>120</v>
      </c>
      <c r="E1980" t="s">
        <v>116</v>
      </c>
      <c r="F1980" t="s">
        <v>117</v>
      </c>
      <c r="H1980" t="s">
        <v>582</v>
      </c>
      <c r="I1980" t="str">
        <f>"101050002003737"</f>
        <v>101050002003737</v>
      </c>
      <c r="J1980" t="str">
        <f t="shared" si="387"/>
        <v>514483</v>
      </c>
      <c r="K1980" t="s">
        <v>84</v>
      </c>
      <c r="L1980">
        <v>49</v>
      </c>
      <c r="M1980">
        <v>49</v>
      </c>
      <c r="N1980">
        <v>0</v>
      </c>
      <c r="O1980" s="1">
        <v>45582.513078703705</v>
      </c>
      <c r="P1980" t="s">
        <v>132</v>
      </c>
    </row>
    <row r="1981" spans="1:16" x14ac:dyDescent="0.3">
      <c r="A1981" t="s">
        <v>25</v>
      </c>
      <c r="B1981" s="1">
        <v>45582.513078703705</v>
      </c>
      <c r="C1981" t="str">
        <f t="shared" si="386"/>
        <v>41</v>
      </c>
      <c r="D1981" t="s">
        <v>120</v>
      </c>
      <c r="E1981" t="s">
        <v>116</v>
      </c>
      <c r="F1981" t="s">
        <v>117</v>
      </c>
      <c r="H1981" t="s">
        <v>582</v>
      </c>
      <c r="I1981" t="str">
        <f>"101050002003490"</f>
        <v>101050002003490</v>
      </c>
      <c r="J1981" t="str">
        <f t="shared" si="387"/>
        <v>514483</v>
      </c>
      <c r="K1981" t="s">
        <v>84</v>
      </c>
      <c r="L1981">
        <v>49</v>
      </c>
      <c r="M1981">
        <v>49</v>
      </c>
      <c r="N1981">
        <v>0</v>
      </c>
      <c r="O1981" s="1">
        <v>45582.513078703705</v>
      </c>
      <c r="P1981" t="s">
        <v>132</v>
      </c>
    </row>
    <row r="1982" spans="1:16" x14ac:dyDescent="0.3">
      <c r="A1982" t="s">
        <v>25</v>
      </c>
      <c r="B1982" s="1">
        <v>45582.513078703705</v>
      </c>
      <c r="C1982" t="str">
        <f t="shared" si="386"/>
        <v>41</v>
      </c>
      <c r="D1982" t="s">
        <v>120</v>
      </c>
      <c r="E1982" t="s">
        <v>116</v>
      </c>
      <c r="F1982" t="s">
        <v>117</v>
      </c>
      <c r="H1982" t="s">
        <v>582</v>
      </c>
      <c r="I1982" t="str">
        <f>"101050002003231"</f>
        <v>101050002003231</v>
      </c>
      <c r="J1982" t="str">
        <f t="shared" si="387"/>
        <v>514483</v>
      </c>
      <c r="K1982" t="s">
        <v>84</v>
      </c>
      <c r="L1982">
        <v>49</v>
      </c>
      <c r="M1982">
        <v>49</v>
      </c>
      <c r="N1982">
        <v>0</v>
      </c>
      <c r="O1982" s="1">
        <v>45582.513078703705</v>
      </c>
      <c r="P1982" t="s">
        <v>132</v>
      </c>
    </row>
    <row r="1983" spans="1:16" x14ac:dyDescent="0.3">
      <c r="A1983" t="s">
        <v>25</v>
      </c>
      <c r="B1983" s="1">
        <v>45582.513078703705</v>
      </c>
      <c r="C1983" t="str">
        <f t="shared" si="386"/>
        <v>41</v>
      </c>
      <c r="D1983" t="s">
        <v>120</v>
      </c>
      <c r="E1983" t="s">
        <v>116</v>
      </c>
      <c r="F1983" t="s">
        <v>117</v>
      </c>
      <c r="H1983" t="s">
        <v>582</v>
      </c>
      <c r="I1983" t="str">
        <f>"101050002003491"</f>
        <v>101050002003491</v>
      </c>
      <c r="J1983" t="str">
        <f t="shared" si="387"/>
        <v>514483</v>
      </c>
      <c r="K1983" t="s">
        <v>84</v>
      </c>
      <c r="L1983">
        <v>49</v>
      </c>
      <c r="M1983">
        <v>49</v>
      </c>
      <c r="N1983">
        <v>0</v>
      </c>
      <c r="O1983" s="1">
        <v>45582.513078703705</v>
      </c>
      <c r="P1983" t="s">
        <v>132</v>
      </c>
    </row>
    <row r="1984" spans="1:16" x14ac:dyDescent="0.3">
      <c r="A1984" t="s">
        <v>25</v>
      </c>
      <c r="B1984" s="1">
        <v>45582.512337962966</v>
      </c>
      <c r="C1984" t="str">
        <f>"38"</f>
        <v>38</v>
      </c>
      <c r="D1984" t="s">
        <v>115</v>
      </c>
      <c r="E1984" t="s">
        <v>116</v>
      </c>
      <c r="F1984" t="s">
        <v>117</v>
      </c>
      <c r="H1984" t="s">
        <v>583</v>
      </c>
      <c r="L1984">
        <v>0</v>
      </c>
      <c r="M1984">
        <v>0</v>
      </c>
      <c r="N1984">
        <v>0</v>
      </c>
      <c r="O1984" s="1">
        <v>45582.512337962966</v>
      </c>
      <c r="P1984" t="s">
        <v>392</v>
      </c>
    </row>
    <row r="1985" spans="1:16" x14ac:dyDescent="0.3">
      <c r="A1985" t="s">
        <v>25</v>
      </c>
      <c r="B1985" s="1">
        <v>45582.512337962966</v>
      </c>
      <c r="C1985" t="str">
        <f>"41"</f>
        <v>41</v>
      </c>
      <c r="D1985" t="s">
        <v>120</v>
      </c>
      <c r="E1985" t="s">
        <v>116</v>
      </c>
      <c r="F1985" t="s">
        <v>117</v>
      </c>
      <c r="H1985" t="s">
        <v>583</v>
      </c>
      <c r="I1985" t="str">
        <f>"101620000471377"</f>
        <v>101620000471377</v>
      </c>
      <c r="J1985" t="str">
        <f>"125034"</f>
        <v>125034</v>
      </c>
      <c r="K1985" t="s">
        <v>39</v>
      </c>
      <c r="L1985">
        <v>49</v>
      </c>
      <c r="M1985">
        <v>49</v>
      </c>
      <c r="N1985">
        <v>0</v>
      </c>
      <c r="O1985" s="1">
        <v>45582.512337962966</v>
      </c>
      <c r="P1985" t="s">
        <v>392</v>
      </c>
    </row>
    <row r="1986" spans="1:16" x14ac:dyDescent="0.3">
      <c r="A1986" t="s">
        <v>25</v>
      </c>
      <c r="B1986" s="1">
        <v>45582.512337962966</v>
      </c>
      <c r="C1986" t="str">
        <f>"41"</f>
        <v>41</v>
      </c>
      <c r="D1986" t="s">
        <v>120</v>
      </c>
      <c r="E1986" t="s">
        <v>116</v>
      </c>
      <c r="F1986" t="s">
        <v>117</v>
      </c>
      <c r="H1986" t="s">
        <v>583</v>
      </c>
      <c r="I1986" t="str">
        <f>"101620000471372"</f>
        <v>101620000471372</v>
      </c>
      <c r="J1986" t="str">
        <f>"125034"</f>
        <v>125034</v>
      </c>
      <c r="K1986" t="s">
        <v>39</v>
      </c>
      <c r="L1986">
        <v>49</v>
      </c>
      <c r="M1986">
        <v>49</v>
      </c>
      <c r="N1986">
        <v>0</v>
      </c>
      <c r="O1986" s="1">
        <v>45582.512337962966</v>
      </c>
      <c r="P1986" t="s">
        <v>392</v>
      </c>
    </row>
    <row r="1987" spans="1:16" x14ac:dyDescent="0.3">
      <c r="A1987" t="s">
        <v>25</v>
      </c>
      <c r="B1987" s="1">
        <v>45582.512326388889</v>
      </c>
      <c r="C1987" t="str">
        <f>"41"</f>
        <v>41</v>
      </c>
      <c r="D1987" t="s">
        <v>120</v>
      </c>
      <c r="E1987" t="s">
        <v>116</v>
      </c>
      <c r="F1987" t="s">
        <v>117</v>
      </c>
      <c r="H1987" t="s">
        <v>583</v>
      </c>
      <c r="I1987" t="str">
        <f>"101620000471373"</f>
        <v>101620000471373</v>
      </c>
      <c r="J1987" t="str">
        <f>"125034"</f>
        <v>125034</v>
      </c>
      <c r="K1987" t="s">
        <v>39</v>
      </c>
      <c r="L1987">
        <v>49</v>
      </c>
      <c r="M1987">
        <v>49</v>
      </c>
      <c r="N1987">
        <v>0</v>
      </c>
      <c r="O1987" s="1">
        <v>45582.512326388889</v>
      </c>
      <c r="P1987" t="s">
        <v>392</v>
      </c>
    </row>
    <row r="1988" spans="1:16" x14ac:dyDescent="0.3">
      <c r="A1988" t="s">
        <v>25</v>
      </c>
      <c r="B1988" s="1">
        <v>45582.511886574073</v>
      </c>
      <c r="C1988" t="str">
        <f>"38"</f>
        <v>38</v>
      </c>
      <c r="D1988" t="s">
        <v>115</v>
      </c>
      <c r="E1988" t="s">
        <v>116</v>
      </c>
      <c r="F1988" t="s">
        <v>117</v>
      </c>
      <c r="H1988" t="s">
        <v>584</v>
      </c>
      <c r="L1988">
        <v>0</v>
      </c>
      <c r="M1988">
        <v>0</v>
      </c>
      <c r="N1988">
        <v>0</v>
      </c>
      <c r="O1988" s="1">
        <v>45582.511886574073</v>
      </c>
      <c r="P1988" t="s">
        <v>392</v>
      </c>
    </row>
    <row r="1989" spans="1:16" x14ac:dyDescent="0.3">
      <c r="A1989" t="s">
        <v>25</v>
      </c>
      <c r="B1989" s="1">
        <v>45582.511886574073</v>
      </c>
      <c r="C1989" t="str">
        <f>"41"</f>
        <v>41</v>
      </c>
      <c r="D1989" t="s">
        <v>120</v>
      </c>
      <c r="E1989" t="s">
        <v>116</v>
      </c>
      <c r="F1989" t="s">
        <v>117</v>
      </c>
      <c r="H1989" t="s">
        <v>584</v>
      </c>
      <c r="I1989" t="str">
        <f>"101050001962862"</f>
        <v>101050001962862</v>
      </c>
      <c r="J1989" t="str">
        <f>"124358"</f>
        <v>124358</v>
      </c>
      <c r="K1989" t="s">
        <v>33</v>
      </c>
      <c r="L1989">
        <v>91</v>
      </c>
      <c r="M1989">
        <v>91</v>
      </c>
      <c r="N1989">
        <v>0</v>
      </c>
      <c r="O1989" s="1">
        <v>45582.511886574073</v>
      </c>
      <c r="P1989" t="s">
        <v>392</v>
      </c>
    </row>
    <row r="1990" spans="1:16" x14ac:dyDescent="0.3">
      <c r="A1990" t="s">
        <v>25</v>
      </c>
      <c r="B1990" s="1">
        <v>45582.511712962965</v>
      </c>
      <c r="C1990" t="str">
        <f>"38"</f>
        <v>38</v>
      </c>
      <c r="D1990" t="s">
        <v>115</v>
      </c>
      <c r="E1990" t="s">
        <v>116</v>
      </c>
      <c r="F1990" t="s">
        <v>117</v>
      </c>
      <c r="H1990" t="s">
        <v>585</v>
      </c>
      <c r="L1990">
        <v>0</v>
      </c>
      <c r="M1990">
        <v>0</v>
      </c>
      <c r="N1990">
        <v>0</v>
      </c>
      <c r="O1990" s="1">
        <v>45582.511712962965</v>
      </c>
      <c r="P1990" t="s">
        <v>122</v>
      </c>
    </row>
    <row r="1991" spans="1:16" x14ac:dyDescent="0.3">
      <c r="A1991" t="s">
        <v>25</v>
      </c>
      <c r="B1991" s="1">
        <v>45582.511712962965</v>
      </c>
      <c r="C1991" t="str">
        <f t="shared" ref="C1991:C1997" si="388">"41"</f>
        <v>41</v>
      </c>
      <c r="D1991" t="s">
        <v>120</v>
      </c>
      <c r="E1991" t="s">
        <v>116</v>
      </c>
      <c r="F1991" t="s">
        <v>117</v>
      </c>
      <c r="H1991" t="s">
        <v>585</v>
      </c>
      <c r="I1991" t="str">
        <f>"101050002022329"</f>
        <v>101050002022329</v>
      </c>
      <c r="J1991" t="str">
        <f t="shared" ref="J1991:J1997" si="389">"2530"</f>
        <v>2530</v>
      </c>
      <c r="K1991" t="s">
        <v>74</v>
      </c>
      <c r="L1991">
        <v>49</v>
      </c>
      <c r="M1991">
        <v>49</v>
      </c>
      <c r="N1991">
        <v>0</v>
      </c>
      <c r="O1991" s="1">
        <v>45582.511712962965</v>
      </c>
      <c r="P1991" t="s">
        <v>122</v>
      </c>
    </row>
    <row r="1992" spans="1:16" x14ac:dyDescent="0.3">
      <c r="A1992" t="s">
        <v>25</v>
      </c>
      <c r="B1992" s="1">
        <v>45582.511712962965</v>
      </c>
      <c r="C1992" t="str">
        <f t="shared" si="388"/>
        <v>41</v>
      </c>
      <c r="D1992" t="s">
        <v>120</v>
      </c>
      <c r="E1992" t="s">
        <v>116</v>
      </c>
      <c r="F1992" t="s">
        <v>117</v>
      </c>
      <c r="H1992" t="s">
        <v>585</v>
      </c>
      <c r="I1992" t="str">
        <f>"101050002022055"</f>
        <v>101050002022055</v>
      </c>
      <c r="J1992" t="str">
        <f t="shared" si="389"/>
        <v>2530</v>
      </c>
      <c r="K1992" t="s">
        <v>74</v>
      </c>
      <c r="L1992">
        <v>49</v>
      </c>
      <c r="M1992">
        <v>49</v>
      </c>
      <c r="N1992">
        <v>0</v>
      </c>
      <c r="O1992" s="1">
        <v>45582.511712962965</v>
      </c>
      <c r="P1992" t="s">
        <v>122</v>
      </c>
    </row>
    <row r="1993" spans="1:16" x14ac:dyDescent="0.3">
      <c r="A1993" t="s">
        <v>25</v>
      </c>
      <c r="B1993" s="1">
        <v>45582.511712962965</v>
      </c>
      <c r="C1993" t="str">
        <f t="shared" si="388"/>
        <v>41</v>
      </c>
      <c r="D1993" t="s">
        <v>120</v>
      </c>
      <c r="E1993" t="s">
        <v>116</v>
      </c>
      <c r="F1993" t="s">
        <v>117</v>
      </c>
      <c r="H1993" t="s">
        <v>585</v>
      </c>
      <c r="I1993" t="str">
        <f>"101050002022016"</f>
        <v>101050002022016</v>
      </c>
      <c r="J1993" t="str">
        <f t="shared" si="389"/>
        <v>2530</v>
      </c>
      <c r="K1993" t="s">
        <v>74</v>
      </c>
      <c r="L1993">
        <v>49</v>
      </c>
      <c r="M1993">
        <v>49</v>
      </c>
      <c r="N1993">
        <v>0</v>
      </c>
      <c r="O1993" s="1">
        <v>45582.511712962965</v>
      </c>
      <c r="P1993" t="s">
        <v>122</v>
      </c>
    </row>
    <row r="1994" spans="1:16" x14ac:dyDescent="0.3">
      <c r="A1994" t="s">
        <v>25</v>
      </c>
      <c r="B1994" s="1">
        <v>45582.511701388888</v>
      </c>
      <c r="C1994" t="str">
        <f t="shared" si="388"/>
        <v>41</v>
      </c>
      <c r="D1994" t="s">
        <v>120</v>
      </c>
      <c r="E1994" t="s">
        <v>116</v>
      </c>
      <c r="F1994" t="s">
        <v>117</v>
      </c>
      <c r="H1994" t="s">
        <v>585</v>
      </c>
      <c r="I1994" t="str">
        <f>"101050002022327"</f>
        <v>101050002022327</v>
      </c>
      <c r="J1994" t="str">
        <f t="shared" si="389"/>
        <v>2530</v>
      </c>
      <c r="K1994" t="s">
        <v>74</v>
      </c>
      <c r="L1994">
        <v>49</v>
      </c>
      <c r="M1994">
        <v>49</v>
      </c>
      <c r="N1994">
        <v>0</v>
      </c>
      <c r="O1994" s="1">
        <v>45582.511701388888</v>
      </c>
      <c r="P1994" t="s">
        <v>122</v>
      </c>
    </row>
    <row r="1995" spans="1:16" x14ac:dyDescent="0.3">
      <c r="A1995" t="s">
        <v>25</v>
      </c>
      <c r="B1995" s="1">
        <v>45582.511701388888</v>
      </c>
      <c r="C1995" t="str">
        <f t="shared" si="388"/>
        <v>41</v>
      </c>
      <c r="D1995" t="s">
        <v>120</v>
      </c>
      <c r="E1995" t="s">
        <v>116</v>
      </c>
      <c r="F1995" t="s">
        <v>117</v>
      </c>
      <c r="H1995" t="s">
        <v>585</v>
      </c>
      <c r="I1995" t="str">
        <f>"101050002022443"</f>
        <v>101050002022443</v>
      </c>
      <c r="J1995" t="str">
        <f t="shared" si="389"/>
        <v>2530</v>
      </c>
      <c r="K1995" t="s">
        <v>74</v>
      </c>
      <c r="L1995">
        <v>49</v>
      </c>
      <c r="M1995">
        <v>49</v>
      </c>
      <c r="N1995">
        <v>0</v>
      </c>
      <c r="O1995" s="1">
        <v>45582.511701388888</v>
      </c>
      <c r="P1995" t="s">
        <v>122</v>
      </c>
    </row>
    <row r="1996" spans="1:16" x14ac:dyDescent="0.3">
      <c r="A1996" t="s">
        <v>25</v>
      </c>
      <c r="B1996" s="1">
        <v>45582.511701388888</v>
      </c>
      <c r="C1996" t="str">
        <f t="shared" si="388"/>
        <v>41</v>
      </c>
      <c r="D1996" t="s">
        <v>120</v>
      </c>
      <c r="E1996" t="s">
        <v>116</v>
      </c>
      <c r="F1996" t="s">
        <v>117</v>
      </c>
      <c r="H1996" t="s">
        <v>585</v>
      </c>
      <c r="I1996" t="str">
        <f>"101050002022328"</f>
        <v>101050002022328</v>
      </c>
      <c r="J1996" t="str">
        <f t="shared" si="389"/>
        <v>2530</v>
      </c>
      <c r="K1996" t="s">
        <v>74</v>
      </c>
      <c r="L1996">
        <v>49</v>
      </c>
      <c r="M1996">
        <v>49</v>
      </c>
      <c r="N1996">
        <v>0</v>
      </c>
      <c r="O1996" s="1">
        <v>45582.511701388888</v>
      </c>
      <c r="P1996" t="s">
        <v>122</v>
      </c>
    </row>
    <row r="1997" spans="1:16" x14ac:dyDescent="0.3">
      <c r="A1997" t="s">
        <v>25</v>
      </c>
      <c r="B1997" s="1">
        <v>45582.511701388888</v>
      </c>
      <c r="C1997" t="str">
        <f t="shared" si="388"/>
        <v>41</v>
      </c>
      <c r="D1997" t="s">
        <v>120</v>
      </c>
      <c r="E1997" t="s">
        <v>116</v>
      </c>
      <c r="F1997" t="s">
        <v>117</v>
      </c>
      <c r="H1997" t="s">
        <v>585</v>
      </c>
      <c r="I1997" t="str">
        <f>"101050002022442"</f>
        <v>101050002022442</v>
      </c>
      <c r="J1997" t="str">
        <f t="shared" si="389"/>
        <v>2530</v>
      </c>
      <c r="K1997" t="s">
        <v>74</v>
      </c>
      <c r="L1997">
        <v>49</v>
      </c>
      <c r="M1997">
        <v>49</v>
      </c>
      <c r="N1997">
        <v>0</v>
      </c>
      <c r="O1997" s="1">
        <v>45582.511701388888</v>
      </c>
      <c r="P1997" t="s">
        <v>122</v>
      </c>
    </row>
    <row r="1998" spans="1:16" x14ac:dyDescent="0.3">
      <c r="A1998" t="s">
        <v>25</v>
      </c>
      <c r="B1998" s="1">
        <v>45582.511643518519</v>
      </c>
      <c r="C1998" t="str">
        <f>"38"</f>
        <v>38</v>
      </c>
      <c r="D1998" t="s">
        <v>115</v>
      </c>
      <c r="E1998" t="s">
        <v>116</v>
      </c>
      <c r="F1998" t="s">
        <v>117</v>
      </c>
      <c r="H1998" t="s">
        <v>586</v>
      </c>
      <c r="L1998">
        <v>0</v>
      </c>
      <c r="M1998">
        <v>0</v>
      </c>
      <c r="N1998">
        <v>0</v>
      </c>
      <c r="O1998" s="1">
        <v>45582.511643518519</v>
      </c>
      <c r="P1998" t="s">
        <v>132</v>
      </c>
    </row>
    <row r="1999" spans="1:16" x14ac:dyDescent="0.3">
      <c r="A1999" t="s">
        <v>25</v>
      </c>
      <c r="B1999" s="1">
        <v>45582.511643518519</v>
      </c>
      <c r="C1999" t="str">
        <f t="shared" ref="C1999:C2005" si="390">"41"</f>
        <v>41</v>
      </c>
      <c r="D1999" t="s">
        <v>120</v>
      </c>
      <c r="E1999" t="s">
        <v>116</v>
      </c>
      <c r="F1999" t="s">
        <v>117</v>
      </c>
      <c r="H1999" t="s">
        <v>586</v>
      </c>
      <c r="I1999" t="str">
        <f>"101050001989228"</f>
        <v>101050001989228</v>
      </c>
      <c r="J1999" t="str">
        <f t="shared" ref="J1999:J2005" si="391">"124239"</f>
        <v>124239</v>
      </c>
      <c r="K1999" t="s">
        <v>32</v>
      </c>
      <c r="L1999">
        <v>91</v>
      </c>
      <c r="M1999">
        <v>91</v>
      </c>
      <c r="N1999">
        <v>0</v>
      </c>
      <c r="O1999" s="1">
        <v>45582.511643518519</v>
      </c>
      <c r="P1999" t="s">
        <v>132</v>
      </c>
    </row>
    <row r="2000" spans="1:16" x14ac:dyDescent="0.3">
      <c r="A2000" t="s">
        <v>25</v>
      </c>
      <c r="B2000" s="1">
        <v>45582.511643518519</v>
      </c>
      <c r="C2000" t="str">
        <f t="shared" si="390"/>
        <v>41</v>
      </c>
      <c r="D2000" t="s">
        <v>120</v>
      </c>
      <c r="E2000" t="s">
        <v>116</v>
      </c>
      <c r="F2000" t="s">
        <v>117</v>
      </c>
      <c r="H2000" t="s">
        <v>586</v>
      </c>
      <c r="I2000" t="str">
        <f>"101050001990070"</f>
        <v>101050001990070</v>
      </c>
      <c r="J2000" t="str">
        <f t="shared" si="391"/>
        <v>124239</v>
      </c>
      <c r="K2000" t="s">
        <v>32</v>
      </c>
      <c r="L2000">
        <v>91</v>
      </c>
      <c r="M2000">
        <v>91</v>
      </c>
      <c r="N2000">
        <v>0</v>
      </c>
      <c r="O2000" s="1">
        <v>45582.511643518519</v>
      </c>
      <c r="P2000" t="s">
        <v>132</v>
      </c>
    </row>
    <row r="2001" spans="1:16" x14ac:dyDescent="0.3">
      <c r="A2001" t="s">
        <v>25</v>
      </c>
      <c r="B2001" s="1">
        <v>45582.511643518519</v>
      </c>
      <c r="C2001" t="str">
        <f t="shared" si="390"/>
        <v>41</v>
      </c>
      <c r="D2001" t="s">
        <v>120</v>
      </c>
      <c r="E2001" t="s">
        <v>116</v>
      </c>
      <c r="F2001" t="s">
        <v>117</v>
      </c>
      <c r="H2001" t="s">
        <v>586</v>
      </c>
      <c r="I2001" t="str">
        <f>"101050001989683"</f>
        <v>101050001989683</v>
      </c>
      <c r="J2001" t="str">
        <f t="shared" si="391"/>
        <v>124239</v>
      </c>
      <c r="K2001" t="s">
        <v>32</v>
      </c>
      <c r="L2001">
        <v>91</v>
      </c>
      <c r="M2001">
        <v>91</v>
      </c>
      <c r="N2001">
        <v>0</v>
      </c>
      <c r="O2001" s="1">
        <v>45582.511643518519</v>
      </c>
      <c r="P2001" t="s">
        <v>132</v>
      </c>
    </row>
    <row r="2002" spans="1:16" x14ac:dyDescent="0.3">
      <c r="A2002" t="s">
        <v>25</v>
      </c>
      <c r="B2002" s="1">
        <v>45582.511631944442</v>
      </c>
      <c r="C2002" t="str">
        <f t="shared" si="390"/>
        <v>41</v>
      </c>
      <c r="D2002" t="s">
        <v>120</v>
      </c>
      <c r="E2002" t="s">
        <v>116</v>
      </c>
      <c r="F2002" t="s">
        <v>117</v>
      </c>
      <c r="H2002" t="s">
        <v>586</v>
      </c>
      <c r="I2002" t="str">
        <f>"101050001989687"</f>
        <v>101050001989687</v>
      </c>
      <c r="J2002" t="str">
        <f t="shared" si="391"/>
        <v>124239</v>
      </c>
      <c r="K2002" t="s">
        <v>32</v>
      </c>
      <c r="L2002">
        <v>91</v>
      </c>
      <c r="M2002">
        <v>91</v>
      </c>
      <c r="N2002">
        <v>0</v>
      </c>
      <c r="O2002" s="1">
        <v>45582.511631944442</v>
      </c>
      <c r="P2002" t="s">
        <v>132</v>
      </c>
    </row>
    <row r="2003" spans="1:16" x14ac:dyDescent="0.3">
      <c r="A2003" t="s">
        <v>25</v>
      </c>
      <c r="B2003" s="1">
        <v>45582.511631944442</v>
      </c>
      <c r="C2003" t="str">
        <f t="shared" si="390"/>
        <v>41</v>
      </c>
      <c r="D2003" t="s">
        <v>120</v>
      </c>
      <c r="E2003" t="s">
        <v>116</v>
      </c>
      <c r="F2003" t="s">
        <v>117</v>
      </c>
      <c r="H2003" t="s">
        <v>586</v>
      </c>
      <c r="I2003" t="str">
        <f>"101050001990071"</f>
        <v>101050001990071</v>
      </c>
      <c r="J2003" t="str">
        <f t="shared" si="391"/>
        <v>124239</v>
      </c>
      <c r="K2003" t="s">
        <v>32</v>
      </c>
      <c r="L2003">
        <v>91</v>
      </c>
      <c r="M2003">
        <v>91</v>
      </c>
      <c r="N2003">
        <v>0</v>
      </c>
      <c r="O2003" s="1">
        <v>45582.511631944442</v>
      </c>
      <c r="P2003" t="s">
        <v>132</v>
      </c>
    </row>
    <row r="2004" spans="1:16" x14ac:dyDescent="0.3">
      <c r="A2004" t="s">
        <v>25</v>
      </c>
      <c r="B2004" s="1">
        <v>45582.511631944442</v>
      </c>
      <c r="C2004" t="str">
        <f t="shared" si="390"/>
        <v>41</v>
      </c>
      <c r="D2004" t="s">
        <v>120</v>
      </c>
      <c r="E2004" t="s">
        <v>116</v>
      </c>
      <c r="F2004" t="s">
        <v>117</v>
      </c>
      <c r="H2004" t="s">
        <v>586</v>
      </c>
      <c r="I2004" t="str">
        <f>"101050001989039"</f>
        <v>101050001989039</v>
      </c>
      <c r="J2004" t="str">
        <f t="shared" si="391"/>
        <v>124239</v>
      </c>
      <c r="K2004" t="s">
        <v>32</v>
      </c>
      <c r="L2004">
        <v>91</v>
      </c>
      <c r="M2004">
        <v>91</v>
      </c>
      <c r="N2004">
        <v>0</v>
      </c>
      <c r="O2004" s="1">
        <v>45582.511631944442</v>
      </c>
      <c r="P2004" t="s">
        <v>132</v>
      </c>
    </row>
    <row r="2005" spans="1:16" x14ac:dyDescent="0.3">
      <c r="A2005" t="s">
        <v>25</v>
      </c>
      <c r="B2005" s="1">
        <v>45582.511631944442</v>
      </c>
      <c r="C2005" t="str">
        <f t="shared" si="390"/>
        <v>41</v>
      </c>
      <c r="D2005" t="s">
        <v>120</v>
      </c>
      <c r="E2005" t="s">
        <v>116</v>
      </c>
      <c r="F2005" t="s">
        <v>117</v>
      </c>
      <c r="H2005" t="s">
        <v>586</v>
      </c>
      <c r="I2005" t="str">
        <f>"101050001989130"</f>
        <v>101050001989130</v>
      </c>
      <c r="J2005" t="str">
        <f t="shared" si="391"/>
        <v>124239</v>
      </c>
      <c r="K2005" t="s">
        <v>32</v>
      </c>
      <c r="L2005">
        <v>91</v>
      </c>
      <c r="M2005">
        <v>91</v>
      </c>
      <c r="N2005">
        <v>0</v>
      </c>
      <c r="O2005" s="1">
        <v>45582.511631944442</v>
      </c>
      <c r="P2005" t="s">
        <v>132</v>
      </c>
    </row>
    <row r="2006" spans="1:16" x14ac:dyDescent="0.3">
      <c r="A2006" t="s">
        <v>25</v>
      </c>
      <c r="B2006" s="1">
        <v>45582.51153935185</v>
      </c>
      <c r="C2006" t="str">
        <f>"38"</f>
        <v>38</v>
      </c>
      <c r="D2006" t="s">
        <v>115</v>
      </c>
      <c r="E2006" t="s">
        <v>116</v>
      </c>
      <c r="F2006" t="s">
        <v>117</v>
      </c>
      <c r="H2006" t="s">
        <v>587</v>
      </c>
      <c r="L2006">
        <v>0</v>
      </c>
      <c r="M2006">
        <v>0</v>
      </c>
      <c r="N2006">
        <v>0</v>
      </c>
      <c r="O2006" s="1">
        <v>45582.51153935185</v>
      </c>
      <c r="P2006" t="s">
        <v>119</v>
      </c>
    </row>
    <row r="2007" spans="1:16" x14ac:dyDescent="0.3">
      <c r="A2007" t="s">
        <v>25</v>
      </c>
      <c r="B2007" s="1">
        <v>45582.51153935185</v>
      </c>
      <c r="C2007" t="str">
        <f>"41"</f>
        <v>41</v>
      </c>
      <c r="D2007" t="s">
        <v>120</v>
      </c>
      <c r="E2007" t="s">
        <v>116</v>
      </c>
      <c r="F2007" t="s">
        <v>117</v>
      </c>
      <c r="H2007" t="s">
        <v>587</v>
      </c>
      <c r="I2007" t="str">
        <f>"101050002003071"</f>
        <v>101050002003071</v>
      </c>
      <c r="J2007" t="str">
        <f>"514483"</f>
        <v>514483</v>
      </c>
      <c r="K2007" t="s">
        <v>84</v>
      </c>
      <c r="L2007">
        <v>49</v>
      </c>
      <c r="M2007">
        <v>49</v>
      </c>
      <c r="N2007">
        <v>0</v>
      </c>
      <c r="O2007" s="1">
        <v>45582.51153935185</v>
      </c>
      <c r="P2007" t="s">
        <v>119</v>
      </c>
    </row>
    <row r="2008" spans="1:16" x14ac:dyDescent="0.3">
      <c r="A2008" t="s">
        <v>25</v>
      </c>
      <c r="B2008" s="1">
        <v>45582.51121527778</v>
      </c>
      <c r="C2008" t="str">
        <f>"38"</f>
        <v>38</v>
      </c>
      <c r="D2008" t="s">
        <v>115</v>
      </c>
      <c r="E2008" t="s">
        <v>116</v>
      </c>
      <c r="F2008" t="s">
        <v>117</v>
      </c>
      <c r="H2008" t="s">
        <v>588</v>
      </c>
      <c r="L2008">
        <v>0</v>
      </c>
      <c r="M2008">
        <v>0</v>
      </c>
      <c r="N2008">
        <v>0</v>
      </c>
      <c r="O2008" s="1">
        <v>45582.51121527778</v>
      </c>
      <c r="P2008" t="s">
        <v>119</v>
      </c>
    </row>
    <row r="2009" spans="1:16" x14ac:dyDescent="0.3">
      <c r="A2009" t="s">
        <v>25</v>
      </c>
      <c r="B2009" s="1">
        <v>45582.51121527778</v>
      </c>
      <c r="C2009" t="str">
        <f>"41"</f>
        <v>41</v>
      </c>
      <c r="D2009" t="s">
        <v>120</v>
      </c>
      <c r="E2009" t="s">
        <v>116</v>
      </c>
      <c r="F2009" t="s">
        <v>117</v>
      </c>
      <c r="H2009" t="s">
        <v>588</v>
      </c>
      <c r="I2009" t="str">
        <f>"101050001977460"</f>
        <v>101050001977460</v>
      </c>
      <c r="J2009" t="str">
        <f>"514862"</f>
        <v>514862</v>
      </c>
      <c r="K2009" t="s">
        <v>91</v>
      </c>
      <c r="L2009">
        <v>49</v>
      </c>
      <c r="M2009">
        <v>49</v>
      </c>
      <c r="N2009">
        <v>0</v>
      </c>
      <c r="O2009" s="1">
        <v>45582.51121527778</v>
      </c>
      <c r="P2009" t="s">
        <v>119</v>
      </c>
    </row>
    <row r="2010" spans="1:16" x14ac:dyDescent="0.3">
      <c r="A2010" t="s">
        <v>25</v>
      </c>
      <c r="B2010" s="1">
        <v>45582.51121527778</v>
      </c>
      <c r="C2010" t="str">
        <f>"41"</f>
        <v>41</v>
      </c>
      <c r="D2010" t="s">
        <v>120</v>
      </c>
      <c r="E2010" t="s">
        <v>116</v>
      </c>
      <c r="F2010" t="s">
        <v>117</v>
      </c>
      <c r="H2010" t="s">
        <v>588</v>
      </c>
      <c r="I2010" t="str">
        <f>"101050001977750"</f>
        <v>101050001977750</v>
      </c>
      <c r="J2010" t="str">
        <f>"514862"</f>
        <v>514862</v>
      </c>
      <c r="K2010" t="s">
        <v>91</v>
      </c>
      <c r="L2010">
        <v>49</v>
      </c>
      <c r="M2010">
        <v>49</v>
      </c>
      <c r="N2010">
        <v>0</v>
      </c>
      <c r="O2010" s="1">
        <v>45582.51121527778</v>
      </c>
      <c r="P2010" t="s">
        <v>119</v>
      </c>
    </row>
    <row r="2011" spans="1:16" x14ac:dyDescent="0.3">
      <c r="A2011" t="s">
        <v>25</v>
      </c>
      <c r="B2011" s="1">
        <v>45582.511655092596</v>
      </c>
      <c r="C2011" t="str">
        <f>"38"</f>
        <v>38</v>
      </c>
      <c r="D2011" t="s">
        <v>115</v>
      </c>
      <c r="E2011" t="s">
        <v>116</v>
      </c>
      <c r="F2011" t="s">
        <v>117</v>
      </c>
      <c r="H2011" t="s">
        <v>589</v>
      </c>
      <c r="L2011">
        <v>0</v>
      </c>
      <c r="M2011">
        <v>0</v>
      </c>
      <c r="N2011">
        <v>0</v>
      </c>
      <c r="O2011" s="1">
        <v>45582.511655092596</v>
      </c>
      <c r="P2011" t="s">
        <v>392</v>
      </c>
    </row>
    <row r="2012" spans="1:16" x14ac:dyDescent="0.3">
      <c r="A2012" t="s">
        <v>25</v>
      </c>
      <c r="B2012" s="1">
        <v>45582.511655092596</v>
      </c>
      <c r="C2012" t="str">
        <f t="shared" ref="C2012:C2023" si="392">"41"</f>
        <v>41</v>
      </c>
      <c r="D2012" t="s">
        <v>120</v>
      </c>
      <c r="E2012" t="s">
        <v>116</v>
      </c>
      <c r="F2012" t="s">
        <v>117</v>
      </c>
      <c r="H2012" t="s">
        <v>589</v>
      </c>
      <c r="I2012" t="str">
        <f>"101050002022058"</f>
        <v>101050002022058</v>
      </c>
      <c r="J2012" t="str">
        <f t="shared" ref="J2012:J2018" si="393">"2530"</f>
        <v>2530</v>
      </c>
      <c r="K2012" t="s">
        <v>74</v>
      </c>
      <c r="L2012">
        <v>49</v>
      </c>
      <c r="M2012">
        <v>49</v>
      </c>
      <c r="N2012">
        <v>0</v>
      </c>
      <c r="O2012" s="1">
        <v>45582.511655092596</v>
      </c>
      <c r="P2012" t="s">
        <v>392</v>
      </c>
    </row>
    <row r="2013" spans="1:16" x14ac:dyDescent="0.3">
      <c r="A2013" t="s">
        <v>25</v>
      </c>
      <c r="B2013" s="1">
        <v>45582.511655092596</v>
      </c>
      <c r="C2013" t="str">
        <f t="shared" si="392"/>
        <v>41</v>
      </c>
      <c r="D2013" t="s">
        <v>120</v>
      </c>
      <c r="E2013" t="s">
        <v>116</v>
      </c>
      <c r="F2013" t="s">
        <v>117</v>
      </c>
      <c r="H2013" t="s">
        <v>589</v>
      </c>
      <c r="I2013" t="str">
        <f>"101050002021814"</f>
        <v>101050002021814</v>
      </c>
      <c r="J2013" t="str">
        <f t="shared" si="393"/>
        <v>2530</v>
      </c>
      <c r="K2013" t="s">
        <v>74</v>
      </c>
      <c r="L2013">
        <v>49</v>
      </c>
      <c r="M2013">
        <v>49</v>
      </c>
      <c r="N2013">
        <v>0</v>
      </c>
      <c r="O2013" s="1">
        <v>45582.511655092596</v>
      </c>
      <c r="P2013" t="s">
        <v>392</v>
      </c>
    </row>
    <row r="2014" spans="1:16" x14ac:dyDescent="0.3">
      <c r="A2014" t="s">
        <v>25</v>
      </c>
      <c r="B2014" s="1">
        <v>45582.511655092596</v>
      </c>
      <c r="C2014" t="str">
        <f t="shared" si="392"/>
        <v>41</v>
      </c>
      <c r="D2014" t="s">
        <v>120</v>
      </c>
      <c r="E2014" t="s">
        <v>116</v>
      </c>
      <c r="F2014" t="s">
        <v>117</v>
      </c>
      <c r="H2014" t="s">
        <v>589</v>
      </c>
      <c r="I2014" t="str">
        <f>"101050002021816"</f>
        <v>101050002021816</v>
      </c>
      <c r="J2014" t="str">
        <f t="shared" si="393"/>
        <v>2530</v>
      </c>
      <c r="K2014" t="s">
        <v>74</v>
      </c>
      <c r="L2014">
        <v>49</v>
      </c>
      <c r="M2014">
        <v>49</v>
      </c>
      <c r="N2014">
        <v>0</v>
      </c>
      <c r="O2014" s="1">
        <v>45582.511655092596</v>
      </c>
      <c r="P2014" t="s">
        <v>392</v>
      </c>
    </row>
    <row r="2015" spans="1:16" x14ac:dyDescent="0.3">
      <c r="A2015" t="s">
        <v>25</v>
      </c>
      <c r="B2015" s="1">
        <v>45582.511655092596</v>
      </c>
      <c r="C2015" t="str">
        <f t="shared" si="392"/>
        <v>41</v>
      </c>
      <c r="D2015" t="s">
        <v>120</v>
      </c>
      <c r="E2015" t="s">
        <v>116</v>
      </c>
      <c r="F2015" t="s">
        <v>117</v>
      </c>
      <c r="H2015" t="s">
        <v>589</v>
      </c>
      <c r="I2015" t="str">
        <f>"101050002022679"</f>
        <v>101050002022679</v>
      </c>
      <c r="J2015" t="str">
        <f t="shared" si="393"/>
        <v>2530</v>
      </c>
      <c r="K2015" t="s">
        <v>74</v>
      </c>
      <c r="L2015">
        <v>49</v>
      </c>
      <c r="M2015">
        <v>49</v>
      </c>
      <c r="N2015">
        <v>0</v>
      </c>
      <c r="O2015" s="1">
        <v>45582.511655092596</v>
      </c>
      <c r="P2015" t="s">
        <v>392</v>
      </c>
    </row>
    <row r="2016" spans="1:16" x14ac:dyDescent="0.3">
      <c r="A2016" t="s">
        <v>25</v>
      </c>
      <c r="B2016" s="1">
        <v>45582.511643518519</v>
      </c>
      <c r="C2016" t="str">
        <f t="shared" si="392"/>
        <v>41</v>
      </c>
      <c r="D2016" t="s">
        <v>120</v>
      </c>
      <c r="E2016" t="s">
        <v>116</v>
      </c>
      <c r="F2016" t="s">
        <v>117</v>
      </c>
      <c r="H2016" t="s">
        <v>589</v>
      </c>
      <c r="I2016" t="str">
        <f>"101050002022678"</f>
        <v>101050002022678</v>
      </c>
      <c r="J2016" t="str">
        <f t="shared" si="393"/>
        <v>2530</v>
      </c>
      <c r="K2016" t="s">
        <v>74</v>
      </c>
      <c r="L2016">
        <v>49</v>
      </c>
      <c r="M2016">
        <v>49</v>
      </c>
      <c r="N2016">
        <v>0</v>
      </c>
      <c r="O2016" s="1">
        <v>45582.511643518519</v>
      </c>
      <c r="P2016" t="s">
        <v>392</v>
      </c>
    </row>
    <row r="2017" spans="1:16" x14ac:dyDescent="0.3">
      <c r="A2017" t="s">
        <v>25</v>
      </c>
      <c r="B2017" s="1">
        <v>45582.511643518519</v>
      </c>
      <c r="C2017" t="str">
        <f t="shared" si="392"/>
        <v>41</v>
      </c>
      <c r="D2017" t="s">
        <v>120</v>
      </c>
      <c r="E2017" t="s">
        <v>116</v>
      </c>
      <c r="F2017" t="s">
        <v>117</v>
      </c>
      <c r="H2017" t="s">
        <v>589</v>
      </c>
      <c r="I2017" t="str">
        <f>"101050002021815"</f>
        <v>101050002021815</v>
      </c>
      <c r="J2017" t="str">
        <f t="shared" si="393"/>
        <v>2530</v>
      </c>
      <c r="K2017" t="s">
        <v>74</v>
      </c>
      <c r="L2017">
        <v>49</v>
      </c>
      <c r="M2017">
        <v>49</v>
      </c>
      <c r="N2017">
        <v>0</v>
      </c>
      <c r="O2017" s="1">
        <v>45582.511643518519</v>
      </c>
      <c r="P2017" t="s">
        <v>392</v>
      </c>
    </row>
    <row r="2018" spans="1:16" x14ac:dyDescent="0.3">
      <c r="A2018" t="s">
        <v>25</v>
      </c>
      <c r="B2018" s="1">
        <v>45582.511643518519</v>
      </c>
      <c r="C2018" t="str">
        <f t="shared" si="392"/>
        <v>41</v>
      </c>
      <c r="D2018" t="s">
        <v>120</v>
      </c>
      <c r="E2018" t="s">
        <v>116</v>
      </c>
      <c r="F2018" t="s">
        <v>117</v>
      </c>
      <c r="H2018" t="s">
        <v>589</v>
      </c>
      <c r="I2018" t="str">
        <f>"101050002023592"</f>
        <v>101050002023592</v>
      </c>
      <c r="J2018" t="str">
        <f t="shared" si="393"/>
        <v>2530</v>
      </c>
      <c r="K2018" t="s">
        <v>74</v>
      </c>
      <c r="L2018">
        <v>49</v>
      </c>
      <c r="M2018">
        <v>49</v>
      </c>
      <c r="N2018">
        <v>0</v>
      </c>
      <c r="O2018" s="1">
        <v>45582.511643518519</v>
      </c>
      <c r="P2018" t="s">
        <v>392</v>
      </c>
    </row>
    <row r="2019" spans="1:16" x14ac:dyDescent="0.3">
      <c r="A2019" t="s">
        <v>25</v>
      </c>
      <c r="B2019" s="1">
        <v>45582.51121527778</v>
      </c>
      <c r="C2019" t="str">
        <f t="shared" si="392"/>
        <v>41</v>
      </c>
      <c r="D2019" t="s">
        <v>120</v>
      </c>
      <c r="E2019" t="s">
        <v>116</v>
      </c>
      <c r="F2019" t="s">
        <v>117</v>
      </c>
      <c r="H2019" t="s">
        <v>588</v>
      </c>
      <c r="I2019" t="str">
        <f>"101050001977755"</f>
        <v>101050001977755</v>
      </c>
      <c r="J2019" t="str">
        <f>"514862"</f>
        <v>514862</v>
      </c>
      <c r="K2019" t="s">
        <v>91</v>
      </c>
      <c r="L2019">
        <v>49</v>
      </c>
      <c r="M2019">
        <v>49</v>
      </c>
      <c r="N2019">
        <v>0</v>
      </c>
      <c r="O2019" s="1">
        <v>45582.51121527778</v>
      </c>
      <c r="P2019" t="s">
        <v>119</v>
      </c>
    </row>
    <row r="2020" spans="1:16" x14ac:dyDescent="0.3">
      <c r="A2020" t="s">
        <v>25</v>
      </c>
      <c r="B2020" s="1">
        <v>45582.51121527778</v>
      </c>
      <c r="C2020" t="str">
        <f t="shared" si="392"/>
        <v>41</v>
      </c>
      <c r="D2020" t="s">
        <v>120</v>
      </c>
      <c r="E2020" t="s">
        <v>116</v>
      </c>
      <c r="F2020" t="s">
        <v>117</v>
      </c>
      <c r="H2020" t="s">
        <v>588</v>
      </c>
      <c r="I2020" t="str">
        <f>"101050001977568"</f>
        <v>101050001977568</v>
      </c>
      <c r="J2020" t="str">
        <f>"514862"</f>
        <v>514862</v>
      </c>
      <c r="K2020" t="s">
        <v>91</v>
      </c>
      <c r="L2020">
        <v>49</v>
      </c>
      <c r="M2020">
        <v>49</v>
      </c>
      <c r="N2020">
        <v>0</v>
      </c>
      <c r="O2020" s="1">
        <v>45582.51121527778</v>
      </c>
      <c r="P2020" t="s">
        <v>119</v>
      </c>
    </row>
    <row r="2021" spans="1:16" x14ac:dyDescent="0.3">
      <c r="A2021" t="s">
        <v>25</v>
      </c>
      <c r="B2021" s="1">
        <v>45582.51121527778</v>
      </c>
      <c r="C2021" t="str">
        <f t="shared" si="392"/>
        <v>41</v>
      </c>
      <c r="D2021" t="s">
        <v>120</v>
      </c>
      <c r="E2021" t="s">
        <v>116</v>
      </c>
      <c r="F2021" t="s">
        <v>117</v>
      </c>
      <c r="H2021" t="s">
        <v>588</v>
      </c>
      <c r="I2021" t="str">
        <f>"101050001978105"</f>
        <v>101050001978105</v>
      </c>
      <c r="J2021" t="str">
        <f>"514862"</f>
        <v>514862</v>
      </c>
      <c r="K2021" t="s">
        <v>91</v>
      </c>
      <c r="L2021">
        <v>49</v>
      </c>
      <c r="M2021">
        <v>49</v>
      </c>
      <c r="N2021">
        <v>0</v>
      </c>
      <c r="O2021" s="1">
        <v>45582.51121527778</v>
      </c>
      <c r="P2021" t="s">
        <v>119</v>
      </c>
    </row>
    <row r="2022" spans="1:16" x14ac:dyDescent="0.3">
      <c r="A2022" t="s">
        <v>25</v>
      </c>
      <c r="B2022" s="1">
        <v>45582.51121527778</v>
      </c>
      <c r="C2022" t="str">
        <f t="shared" si="392"/>
        <v>41</v>
      </c>
      <c r="D2022" t="s">
        <v>120</v>
      </c>
      <c r="E2022" t="s">
        <v>116</v>
      </c>
      <c r="F2022" t="s">
        <v>117</v>
      </c>
      <c r="H2022" t="s">
        <v>588</v>
      </c>
      <c r="I2022" t="str">
        <f>"101050001977756"</f>
        <v>101050001977756</v>
      </c>
      <c r="J2022" t="str">
        <f>"514862"</f>
        <v>514862</v>
      </c>
      <c r="K2022" t="s">
        <v>91</v>
      </c>
      <c r="L2022">
        <v>49</v>
      </c>
      <c r="M2022">
        <v>49</v>
      </c>
      <c r="N2022">
        <v>0</v>
      </c>
      <c r="O2022" s="1">
        <v>45582.51121527778</v>
      </c>
      <c r="P2022" t="s">
        <v>119</v>
      </c>
    </row>
    <row r="2023" spans="1:16" x14ac:dyDescent="0.3">
      <c r="A2023" t="s">
        <v>25</v>
      </c>
      <c r="B2023" s="1">
        <v>45582.51121527778</v>
      </c>
      <c r="C2023" t="str">
        <f t="shared" si="392"/>
        <v>41</v>
      </c>
      <c r="D2023" t="s">
        <v>120</v>
      </c>
      <c r="E2023" t="s">
        <v>116</v>
      </c>
      <c r="F2023" t="s">
        <v>117</v>
      </c>
      <c r="H2023" t="s">
        <v>588</v>
      </c>
      <c r="I2023" t="str">
        <f>"101050001978318"</f>
        <v>101050001978318</v>
      </c>
      <c r="J2023" t="str">
        <f>"514862"</f>
        <v>514862</v>
      </c>
      <c r="K2023" t="s">
        <v>91</v>
      </c>
      <c r="L2023">
        <v>49</v>
      </c>
      <c r="M2023">
        <v>49</v>
      </c>
      <c r="N2023">
        <v>0</v>
      </c>
      <c r="O2023" s="1">
        <v>45582.51121527778</v>
      </c>
      <c r="P2023" t="s">
        <v>119</v>
      </c>
    </row>
    <row r="2024" spans="1:16" x14ac:dyDescent="0.3">
      <c r="A2024" t="s">
        <v>25</v>
      </c>
      <c r="B2024" s="1">
        <v>45582.511018518519</v>
      </c>
      <c r="C2024" t="str">
        <f>"38"</f>
        <v>38</v>
      </c>
      <c r="D2024" t="s">
        <v>115</v>
      </c>
      <c r="E2024" t="s">
        <v>116</v>
      </c>
      <c r="F2024" t="s">
        <v>117</v>
      </c>
      <c r="H2024" t="s">
        <v>590</v>
      </c>
      <c r="L2024">
        <v>0</v>
      </c>
      <c r="M2024">
        <v>0</v>
      </c>
      <c r="N2024">
        <v>0</v>
      </c>
      <c r="O2024" s="1">
        <v>45582.511018518519</v>
      </c>
      <c r="P2024" t="s">
        <v>132</v>
      </c>
    </row>
    <row r="2025" spans="1:16" x14ac:dyDescent="0.3">
      <c r="A2025" t="s">
        <v>25</v>
      </c>
      <c r="B2025" s="1">
        <v>45582.511018518519</v>
      </c>
      <c r="C2025" t="str">
        <f>"41"</f>
        <v>41</v>
      </c>
      <c r="D2025" t="s">
        <v>120</v>
      </c>
      <c r="E2025" t="s">
        <v>116</v>
      </c>
      <c r="F2025" t="s">
        <v>117</v>
      </c>
      <c r="H2025" t="s">
        <v>590</v>
      </c>
      <c r="I2025" t="str">
        <f>"101050001977674"</f>
        <v>101050001977674</v>
      </c>
      <c r="J2025" t="str">
        <f>"514568"</f>
        <v>514568</v>
      </c>
      <c r="K2025" t="s">
        <v>87</v>
      </c>
      <c r="L2025">
        <v>49</v>
      </c>
      <c r="M2025">
        <v>49</v>
      </c>
      <c r="N2025">
        <v>0</v>
      </c>
      <c r="O2025" s="1">
        <v>45582.511018518519</v>
      </c>
      <c r="P2025" t="s">
        <v>132</v>
      </c>
    </row>
    <row r="2026" spans="1:16" x14ac:dyDescent="0.3">
      <c r="A2026" t="s">
        <v>25</v>
      </c>
      <c r="B2026" s="1">
        <v>45582.511018518519</v>
      </c>
      <c r="C2026" t="str">
        <f>"39"</f>
        <v>39</v>
      </c>
      <c r="D2026" t="s">
        <v>467</v>
      </c>
      <c r="E2026" t="s">
        <v>116</v>
      </c>
      <c r="F2026" t="s">
        <v>117</v>
      </c>
      <c r="G2026" t="s">
        <v>221</v>
      </c>
      <c r="H2026" t="s">
        <v>590</v>
      </c>
      <c r="I2026" t="str">
        <f>"101050001977674"</f>
        <v>101050001977674</v>
      </c>
      <c r="J2026" t="str">
        <f>"514568"</f>
        <v>514568</v>
      </c>
      <c r="K2026" t="s">
        <v>87</v>
      </c>
      <c r="L2026">
        <v>0</v>
      </c>
      <c r="M2026">
        <v>49</v>
      </c>
      <c r="N2026">
        <v>49</v>
      </c>
      <c r="O2026" s="1">
        <v>45582.511018518519</v>
      </c>
      <c r="P2026" t="s">
        <v>132</v>
      </c>
    </row>
    <row r="2027" spans="1:16" x14ac:dyDescent="0.3">
      <c r="A2027" t="s">
        <v>25</v>
      </c>
      <c r="B2027" s="1">
        <v>45582.512314814812</v>
      </c>
      <c r="C2027" t="str">
        <f t="shared" ref="C2027:C2033" si="394">"38"</f>
        <v>38</v>
      </c>
      <c r="D2027" t="s">
        <v>115</v>
      </c>
      <c r="E2027" t="s">
        <v>116</v>
      </c>
      <c r="F2027" t="s">
        <v>117</v>
      </c>
      <c r="H2027" t="s">
        <v>577</v>
      </c>
      <c r="L2027">
        <v>0</v>
      </c>
      <c r="M2027">
        <v>0</v>
      </c>
      <c r="N2027">
        <v>0</v>
      </c>
      <c r="O2027" s="1">
        <v>45582.512314814812</v>
      </c>
      <c r="P2027" t="s">
        <v>125</v>
      </c>
    </row>
    <row r="2028" spans="1:16" x14ac:dyDescent="0.3">
      <c r="A2028" t="s">
        <v>25</v>
      </c>
      <c r="B2028" s="1">
        <v>45582.512245370373</v>
      </c>
      <c r="C2028" t="str">
        <f t="shared" si="394"/>
        <v>38</v>
      </c>
      <c r="D2028" t="s">
        <v>115</v>
      </c>
      <c r="E2028" t="s">
        <v>116</v>
      </c>
      <c r="F2028" t="s">
        <v>117</v>
      </c>
      <c r="H2028" t="s">
        <v>578</v>
      </c>
      <c r="L2028">
        <v>0</v>
      </c>
      <c r="M2028">
        <v>0</v>
      </c>
      <c r="N2028">
        <v>0</v>
      </c>
      <c r="O2028" s="1">
        <v>45582.512245370373</v>
      </c>
      <c r="P2028" t="s">
        <v>125</v>
      </c>
    </row>
    <row r="2029" spans="1:16" x14ac:dyDescent="0.3">
      <c r="A2029" t="s">
        <v>25</v>
      </c>
      <c r="B2029" s="1">
        <v>45582.512199074074</v>
      </c>
      <c r="C2029" t="str">
        <f t="shared" si="394"/>
        <v>38</v>
      </c>
      <c r="D2029" t="s">
        <v>115</v>
      </c>
      <c r="E2029" t="s">
        <v>116</v>
      </c>
      <c r="F2029" t="s">
        <v>117</v>
      </c>
      <c r="H2029" t="s">
        <v>591</v>
      </c>
      <c r="L2029">
        <v>0</v>
      </c>
      <c r="M2029">
        <v>0</v>
      </c>
      <c r="N2029">
        <v>0</v>
      </c>
      <c r="O2029" s="1">
        <v>45582.512199074074</v>
      </c>
      <c r="P2029" t="s">
        <v>125</v>
      </c>
    </row>
    <row r="2030" spans="1:16" x14ac:dyDescent="0.3">
      <c r="A2030" t="s">
        <v>25</v>
      </c>
      <c r="B2030" s="1">
        <v>45582.512152777781</v>
      </c>
      <c r="C2030" t="str">
        <f t="shared" si="394"/>
        <v>38</v>
      </c>
      <c r="D2030" t="s">
        <v>115</v>
      </c>
      <c r="E2030" t="s">
        <v>116</v>
      </c>
      <c r="F2030" t="s">
        <v>117</v>
      </c>
      <c r="H2030" t="s">
        <v>592</v>
      </c>
      <c r="L2030">
        <v>0</v>
      </c>
      <c r="M2030">
        <v>0</v>
      </c>
      <c r="N2030">
        <v>0</v>
      </c>
      <c r="O2030" s="1">
        <v>45582.512152777781</v>
      </c>
      <c r="P2030" t="s">
        <v>125</v>
      </c>
    </row>
    <row r="2031" spans="1:16" x14ac:dyDescent="0.3">
      <c r="A2031" t="s">
        <v>25</v>
      </c>
      <c r="B2031" s="1">
        <v>45582.51054398148</v>
      </c>
      <c r="C2031" t="str">
        <f t="shared" si="394"/>
        <v>38</v>
      </c>
      <c r="D2031" t="s">
        <v>115</v>
      </c>
      <c r="E2031" t="s">
        <v>116</v>
      </c>
      <c r="F2031" t="s">
        <v>117</v>
      </c>
      <c r="H2031" t="s">
        <v>593</v>
      </c>
      <c r="L2031">
        <v>0</v>
      </c>
      <c r="M2031">
        <v>0</v>
      </c>
      <c r="N2031">
        <v>0</v>
      </c>
      <c r="O2031" s="1">
        <v>45582.51054398148</v>
      </c>
      <c r="P2031" t="s">
        <v>392</v>
      </c>
    </row>
    <row r="2032" spans="1:16" x14ac:dyDescent="0.3">
      <c r="A2032" t="s">
        <v>25</v>
      </c>
      <c r="B2032" s="1">
        <v>45582.51085648148</v>
      </c>
      <c r="C2032" t="str">
        <f t="shared" si="394"/>
        <v>38</v>
      </c>
      <c r="D2032" t="s">
        <v>115</v>
      </c>
      <c r="E2032" t="s">
        <v>116</v>
      </c>
      <c r="F2032" t="s">
        <v>117</v>
      </c>
      <c r="H2032" t="s">
        <v>594</v>
      </c>
      <c r="L2032">
        <v>0</v>
      </c>
      <c r="M2032">
        <v>0</v>
      </c>
      <c r="N2032">
        <v>0</v>
      </c>
      <c r="O2032" s="1">
        <v>45582.51085648148</v>
      </c>
      <c r="P2032" t="s">
        <v>119</v>
      </c>
    </row>
    <row r="2033" spans="1:16" x14ac:dyDescent="0.3">
      <c r="A2033" t="s">
        <v>25</v>
      </c>
      <c r="B2033" s="1">
        <v>45582.510717592595</v>
      </c>
      <c r="C2033" t="str">
        <f t="shared" si="394"/>
        <v>38</v>
      </c>
      <c r="D2033" t="s">
        <v>115</v>
      </c>
      <c r="E2033" t="s">
        <v>116</v>
      </c>
      <c r="F2033" t="s">
        <v>117</v>
      </c>
      <c r="H2033" t="s">
        <v>595</v>
      </c>
      <c r="L2033">
        <v>0</v>
      </c>
      <c r="M2033">
        <v>0</v>
      </c>
      <c r="N2033">
        <v>0</v>
      </c>
      <c r="O2033" s="1">
        <v>45582.510717592595</v>
      </c>
      <c r="P2033" t="s">
        <v>119</v>
      </c>
    </row>
    <row r="2034" spans="1:16" x14ac:dyDescent="0.3">
      <c r="A2034" t="s">
        <v>25</v>
      </c>
      <c r="B2034" s="1">
        <v>45582.510717592595</v>
      </c>
      <c r="C2034" t="str">
        <f t="shared" ref="C2034:C2040" si="395">"41"</f>
        <v>41</v>
      </c>
      <c r="D2034" t="s">
        <v>120</v>
      </c>
      <c r="E2034" t="s">
        <v>116</v>
      </c>
      <c r="F2034" t="s">
        <v>117</v>
      </c>
      <c r="H2034" t="s">
        <v>595</v>
      </c>
      <c r="I2034" t="str">
        <f>"101570001110672"</f>
        <v>101570001110672</v>
      </c>
      <c r="J2034" t="str">
        <f t="shared" ref="J2034:J2040" si="396">"126312"</f>
        <v>126312</v>
      </c>
      <c r="K2034" t="s">
        <v>44</v>
      </c>
      <c r="L2034">
        <v>49</v>
      </c>
      <c r="M2034">
        <v>49</v>
      </c>
      <c r="N2034">
        <v>0</v>
      </c>
      <c r="O2034" s="1">
        <v>45582.510717592595</v>
      </c>
      <c r="P2034" t="s">
        <v>119</v>
      </c>
    </row>
    <row r="2035" spans="1:16" x14ac:dyDescent="0.3">
      <c r="A2035" t="s">
        <v>25</v>
      </c>
      <c r="B2035" s="1">
        <v>45582.510717592595</v>
      </c>
      <c r="C2035" t="str">
        <f t="shared" si="395"/>
        <v>41</v>
      </c>
      <c r="D2035" t="s">
        <v>120</v>
      </c>
      <c r="E2035" t="s">
        <v>116</v>
      </c>
      <c r="F2035" t="s">
        <v>117</v>
      </c>
      <c r="H2035" t="s">
        <v>595</v>
      </c>
      <c r="I2035" t="str">
        <f>"101570001110380"</f>
        <v>101570001110380</v>
      </c>
      <c r="J2035" t="str">
        <f t="shared" si="396"/>
        <v>126312</v>
      </c>
      <c r="K2035" t="s">
        <v>44</v>
      </c>
      <c r="L2035">
        <v>49</v>
      </c>
      <c r="M2035">
        <v>49</v>
      </c>
      <c r="N2035">
        <v>0</v>
      </c>
      <c r="O2035" s="1">
        <v>45582.510717592595</v>
      </c>
      <c r="P2035" t="s">
        <v>119</v>
      </c>
    </row>
    <row r="2036" spans="1:16" x14ac:dyDescent="0.3">
      <c r="A2036" t="s">
        <v>25</v>
      </c>
      <c r="B2036" s="1">
        <v>45582.510717592595</v>
      </c>
      <c r="C2036" t="str">
        <f t="shared" si="395"/>
        <v>41</v>
      </c>
      <c r="D2036" t="s">
        <v>120</v>
      </c>
      <c r="E2036" t="s">
        <v>116</v>
      </c>
      <c r="F2036" t="s">
        <v>117</v>
      </c>
      <c r="H2036" t="s">
        <v>595</v>
      </c>
      <c r="I2036" t="str">
        <f>"101570001107909"</f>
        <v>101570001107909</v>
      </c>
      <c r="J2036" t="str">
        <f t="shared" si="396"/>
        <v>126312</v>
      </c>
      <c r="K2036" t="s">
        <v>44</v>
      </c>
      <c r="L2036">
        <v>49</v>
      </c>
      <c r="M2036">
        <v>49</v>
      </c>
      <c r="N2036">
        <v>0</v>
      </c>
      <c r="O2036" s="1">
        <v>45582.510717592595</v>
      </c>
      <c r="P2036" t="s">
        <v>119</v>
      </c>
    </row>
    <row r="2037" spans="1:16" x14ac:dyDescent="0.3">
      <c r="A2037" t="s">
        <v>25</v>
      </c>
      <c r="B2037" s="1">
        <v>45582.510717592595</v>
      </c>
      <c r="C2037" t="str">
        <f t="shared" si="395"/>
        <v>41</v>
      </c>
      <c r="D2037" t="s">
        <v>120</v>
      </c>
      <c r="E2037" t="s">
        <v>116</v>
      </c>
      <c r="F2037" t="s">
        <v>117</v>
      </c>
      <c r="H2037" t="s">
        <v>595</v>
      </c>
      <c r="I2037" t="str">
        <f>"101570001106808"</f>
        <v>101570001106808</v>
      </c>
      <c r="J2037" t="str">
        <f t="shared" si="396"/>
        <v>126312</v>
      </c>
      <c r="K2037" t="s">
        <v>44</v>
      </c>
      <c r="L2037">
        <v>49</v>
      </c>
      <c r="M2037">
        <v>49</v>
      </c>
      <c r="N2037">
        <v>0</v>
      </c>
      <c r="O2037" s="1">
        <v>45582.510717592595</v>
      </c>
      <c r="P2037" t="s">
        <v>119</v>
      </c>
    </row>
    <row r="2038" spans="1:16" x14ac:dyDescent="0.3">
      <c r="A2038" t="s">
        <v>25</v>
      </c>
      <c r="B2038" s="1">
        <v>45582.510706018518</v>
      </c>
      <c r="C2038" t="str">
        <f t="shared" si="395"/>
        <v>41</v>
      </c>
      <c r="D2038" t="s">
        <v>120</v>
      </c>
      <c r="E2038" t="s">
        <v>116</v>
      </c>
      <c r="F2038" t="s">
        <v>117</v>
      </c>
      <c r="H2038" t="s">
        <v>595</v>
      </c>
      <c r="I2038" t="str">
        <f>"101570001107912"</f>
        <v>101570001107912</v>
      </c>
      <c r="J2038" t="str">
        <f t="shared" si="396"/>
        <v>126312</v>
      </c>
      <c r="K2038" t="s">
        <v>44</v>
      </c>
      <c r="L2038">
        <v>49</v>
      </c>
      <c r="M2038">
        <v>49</v>
      </c>
      <c r="N2038">
        <v>0</v>
      </c>
      <c r="O2038" s="1">
        <v>45582.510706018518</v>
      </c>
      <c r="P2038" t="s">
        <v>119</v>
      </c>
    </row>
    <row r="2039" spans="1:16" x14ac:dyDescent="0.3">
      <c r="A2039" t="s">
        <v>25</v>
      </c>
      <c r="B2039" s="1">
        <v>45582.510706018518</v>
      </c>
      <c r="C2039" t="str">
        <f t="shared" si="395"/>
        <v>41</v>
      </c>
      <c r="D2039" t="s">
        <v>120</v>
      </c>
      <c r="E2039" t="s">
        <v>116</v>
      </c>
      <c r="F2039" t="s">
        <v>117</v>
      </c>
      <c r="H2039" t="s">
        <v>595</v>
      </c>
      <c r="I2039" t="str">
        <f>"101570001107914"</f>
        <v>101570001107914</v>
      </c>
      <c r="J2039" t="str">
        <f t="shared" si="396"/>
        <v>126312</v>
      </c>
      <c r="K2039" t="s">
        <v>44</v>
      </c>
      <c r="L2039">
        <v>49</v>
      </c>
      <c r="M2039">
        <v>49</v>
      </c>
      <c r="N2039">
        <v>0</v>
      </c>
      <c r="O2039" s="1">
        <v>45582.510706018518</v>
      </c>
      <c r="P2039" t="s">
        <v>119</v>
      </c>
    </row>
    <row r="2040" spans="1:16" x14ac:dyDescent="0.3">
      <c r="A2040" t="s">
        <v>25</v>
      </c>
      <c r="B2040" s="1">
        <v>45582.510706018518</v>
      </c>
      <c r="C2040" t="str">
        <f t="shared" si="395"/>
        <v>41</v>
      </c>
      <c r="D2040" t="s">
        <v>120</v>
      </c>
      <c r="E2040" t="s">
        <v>116</v>
      </c>
      <c r="F2040" t="s">
        <v>117</v>
      </c>
      <c r="H2040" t="s">
        <v>595</v>
      </c>
      <c r="I2040" t="str">
        <f>"101570001107915"</f>
        <v>101570001107915</v>
      </c>
      <c r="J2040" t="str">
        <f t="shared" si="396"/>
        <v>126312</v>
      </c>
      <c r="K2040" t="s">
        <v>44</v>
      </c>
      <c r="L2040">
        <v>49</v>
      </c>
      <c r="M2040">
        <v>49</v>
      </c>
      <c r="N2040">
        <v>0</v>
      </c>
      <c r="O2040" s="1">
        <v>45582.510706018518</v>
      </c>
      <c r="P2040" t="s">
        <v>119</v>
      </c>
    </row>
    <row r="2041" spans="1:16" x14ac:dyDescent="0.3">
      <c r="A2041" t="s">
        <v>25</v>
      </c>
      <c r="B2041" s="1">
        <v>45582.510555555556</v>
      </c>
      <c r="C2041" t="str">
        <f t="shared" ref="C2041:C2056" si="397">"38"</f>
        <v>38</v>
      </c>
      <c r="D2041" t="s">
        <v>115</v>
      </c>
      <c r="E2041" t="s">
        <v>116</v>
      </c>
      <c r="F2041" t="s">
        <v>117</v>
      </c>
      <c r="H2041" t="s">
        <v>596</v>
      </c>
      <c r="L2041">
        <v>0</v>
      </c>
      <c r="M2041">
        <v>0</v>
      </c>
      <c r="N2041">
        <v>0</v>
      </c>
      <c r="O2041" s="1">
        <v>45582.510555555556</v>
      </c>
      <c r="P2041" t="s">
        <v>132</v>
      </c>
    </row>
    <row r="2042" spans="1:16" x14ac:dyDescent="0.3">
      <c r="A2042" t="s">
        <v>25</v>
      </c>
      <c r="B2042" s="1">
        <v>45582.510509259257</v>
      </c>
      <c r="C2042" t="str">
        <f t="shared" si="397"/>
        <v>38</v>
      </c>
      <c r="D2042" t="s">
        <v>115</v>
      </c>
      <c r="E2042" t="s">
        <v>116</v>
      </c>
      <c r="F2042" t="s">
        <v>117</v>
      </c>
      <c r="H2042" t="s">
        <v>597</v>
      </c>
      <c r="L2042">
        <v>0</v>
      </c>
      <c r="M2042">
        <v>0</v>
      </c>
      <c r="N2042">
        <v>0</v>
      </c>
      <c r="O2042" s="1">
        <v>45582.510509259257</v>
      </c>
      <c r="P2042" t="s">
        <v>132</v>
      </c>
    </row>
    <row r="2043" spans="1:16" x14ac:dyDescent="0.3">
      <c r="A2043" t="s">
        <v>25</v>
      </c>
      <c r="B2043" s="1">
        <v>45582.510462962964</v>
      </c>
      <c r="C2043" t="str">
        <f t="shared" si="397"/>
        <v>38</v>
      </c>
      <c r="D2043" t="s">
        <v>115</v>
      </c>
      <c r="E2043" t="s">
        <v>116</v>
      </c>
      <c r="F2043" t="s">
        <v>117</v>
      </c>
      <c r="H2043" t="s">
        <v>598</v>
      </c>
      <c r="L2043">
        <v>0</v>
      </c>
      <c r="M2043">
        <v>0</v>
      </c>
      <c r="N2043">
        <v>0</v>
      </c>
      <c r="O2043" s="1">
        <v>45582.510462962964</v>
      </c>
      <c r="P2043" t="s">
        <v>132</v>
      </c>
    </row>
    <row r="2044" spans="1:16" x14ac:dyDescent="0.3">
      <c r="A2044" t="s">
        <v>25</v>
      </c>
      <c r="B2044" s="1">
        <v>45582.510428240741</v>
      </c>
      <c r="C2044" t="str">
        <f t="shared" si="397"/>
        <v>38</v>
      </c>
      <c r="D2044" t="s">
        <v>115</v>
      </c>
      <c r="E2044" t="s">
        <v>116</v>
      </c>
      <c r="F2044" t="s">
        <v>117</v>
      </c>
      <c r="H2044" t="s">
        <v>599</v>
      </c>
      <c r="L2044">
        <v>0</v>
      </c>
      <c r="M2044">
        <v>0</v>
      </c>
      <c r="N2044">
        <v>0</v>
      </c>
      <c r="O2044" s="1">
        <v>45582.510428240741</v>
      </c>
      <c r="P2044" t="s">
        <v>132</v>
      </c>
    </row>
    <row r="2045" spans="1:16" x14ac:dyDescent="0.3">
      <c r="A2045" t="s">
        <v>25</v>
      </c>
      <c r="B2045" s="1">
        <v>45582.510393518518</v>
      </c>
      <c r="C2045" t="str">
        <f t="shared" si="397"/>
        <v>38</v>
      </c>
      <c r="D2045" t="s">
        <v>115</v>
      </c>
      <c r="E2045" t="s">
        <v>116</v>
      </c>
      <c r="F2045" t="s">
        <v>117</v>
      </c>
      <c r="H2045" t="s">
        <v>600</v>
      </c>
      <c r="L2045">
        <v>0</v>
      </c>
      <c r="M2045">
        <v>0</v>
      </c>
      <c r="N2045">
        <v>0</v>
      </c>
      <c r="O2045" s="1">
        <v>45582.510393518518</v>
      </c>
      <c r="P2045" t="s">
        <v>132</v>
      </c>
    </row>
    <row r="2046" spans="1:16" x14ac:dyDescent="0.3">
      <c r="A2046" t="s">
        <v>25</v>
      </c>
      <c r="B2046" s="1">
        <v>45582.510428240741</v>
      </c>
      <c r="C2046" t="str">
        <f t="shared" si="397"/>
        <v>38</v>
      </c>
      <c r="D2046" t="s">
        <v>115</v>
      </c>
      <c r="E2046" t="s">
        <v>116</v>
      </c>
      <c r="F2046" t="s">
        <v>117</v>
      </c>
      <c r="H2046" t="s">
        <v>601</v>
      </c>
      <c r="L2046">
        <v>0</v>
      </c>
      <c r="M2046">
        <v>0</v>
      </c>
      <c r="N2046">
        <v>0</v>
      </c>
      <c r="O2046" s="1">
        <v>45582.510428240741</v>
      </c>
      <c r="P2046" t="s">
        <v>392</v>
      </c>
    </row>
    <row r="2047" spans="1:16" x14ac:dyDescent="0.3">
      <c r="A2047" t="s">
        <v>25</v>
      </c>
      <c r="B2047" s="1">
        <v>45582.510393518518</v>
      </c>
      <c r="C2047" t="str">
        <f t="shared" si="397"/>
        <v>38</v>
      </c>
      <c r="D2047" t="s">
        <v>115</v>
      </c>
      <c r="E2047" t="s">
        <v>116</v>
      </c>
      <c r="F2047" t="s">
        <v>117</v>
      </c>
      <c r="H2047" t="s">
        <v>602</v>
      </c>
      <c r="L2047">
        <v>0</v>
      </c>
      <c r="M2047">
        <v>0</v>
      </c>
      <c r="N2047">
        <v>0</v>
      </c>
      <c r="O2047" s="1">
        <v>45582.510393518518</v>
      </c>
      <c r="P2047" t="s">
        <v>392</v>
      </c>
    </row>
    <row r="2048" spans="1:16" x14ac:dyDescent="0.3">
      <c r="A2048" t="s">
        <v>25</v>
      </c>
      <c r="B2048" s="1">
        <v>45582.510347222225</v>
      </c>
      <c r="C2048" t="str">
        <f t="shared" si="397"/>
        <v>38</v>
      </c>
      <c r="D2048" t="s">
        <v>115</v>
      </c>
      <c r="E2048" t="s">
        <v>116</v>
      </c>
      <c r="F2048" t="s">
        <v>117</v>
      </c>
      <c r="H2048" t="s">
        <v>603</v>
      </c>
      <c r="L2048">
        <v>0</v>
      </c>
      <c r="M2048">
        <v>0</v>
      </c>
      <c r="N2048">
        <v>0</v>
      </c>
      <c r="O2048" s="1">
        <v>45582.510347222225</v>
      </c>
      <c r="P2048" t="s">
        <v>392</v>
      </c>
    </row>
    <row r="2049" spans="1:16" x14ac:dyDescent="0.3">
      <c r="A2049" t="s">
        <v>25</v>
      </c>
      <c r="B2049" s="1">
        <v>45582.510289351849</v>
      </c>
      <c r="C2049" t="str">
        <f t="shared" si="397"/>
        <v>38</v>
      </c>
      <c r="D2049" t="s">
        <v>115</v>
      </c>
      <c r="E2049" t="s">
        <v>116</v>
      </c>
      <c r="F2049" t="s">
        <v>117</v>
      </c>
      <c r="H2049" t="s">
        <v>604</v>
      </c>
      <c r="L2049">
        <v>0</v>
      </c>
      <c r="M2049">
        <v>0</v>
      </c>
      <c r="N2049">
        <v>0</v>
      </c>
      <c r="O2049" s="1">
        <v>45582.510289351849</v>
      </c>
      <c r="P2049" t="s">
        <v>392</v>
      </c>
    </row>
    <row r="2050" spans="1:16" x14ac:dyDescent="0.3">
      <c r="A2050" t="s">
        <v>25</v>
      </c>
      <c r="B2050" s="1">
        <v>45582.510243055556</v>
      </c>
      <c r="C2050" t="str">
        <f t="shared" si="397"/>
        <v>38</v>
      </c>
      <c r="D2050" t="s">
        <v>115</v>
      </c>
      <c r="E2050" t="s">
        <v>116</v>
      </c>
      <c r="F2050" t="s">
        <v>117</v>
      </c>
      <c r="H2050" t="s">
        <v>605</v>
      </c>
      <c r="L2050">
        <v>0</v>
      </c>
      <c r="M2050">
        <v>0</v>
      </c>
      <c r="N2050">
        <v>0</v>
      </c>
      <c r="O2050" s="1">
        <v>45582.510243055556</v>
      </c>
      <c r="P2050" t="s">
        <v>392</v>
      </c>
    </row>
    <row r="2051" spans="1:16" x14ac:dyDescent="0.3">
      <c r="A2051" t="s">
        <v>25</v>
      </c>
      <c r="B2051" s="1">
        <v>45582.510196759256</v>
      </c>
      <c r="C2051" t="str">
        <f t="shared" si="397"/>
        <v>38</v>
      </c>
      <c r="D2051" t="s">
        <v>115</v>
      </c>
      <c r="E2051" t="s">
        <v>116</v>
      </c>
      <c r="F2051" t="s">
        <v>117</v>
      </c>
      <c r="H2051" t="s">
        <v>606</v>
      </c>
      <c r="L2051">
        <v>0</v>
      </c>
      <c r="M2051">
        <v>0</v>
      </c>
      <c r="N2051">
        <v>0</v>
      </c>
      <c r="O2051" s="1">
        <v>45582.510196759256</v>
      </c>
      <c r="P2051" t="s">
        <v>392</v>
      </c>
    </row>
    <row r="2052" spans="1:16" x14ac:dyDescent="0.3">
      <c r="A2052" t="s">
        <v>25</v>
      </c>
      <c r="B2052" s="1">
        <v>45582.510162037041</v>
      </c>
      <c r="C2052" t="str">
        <f t="shared" si="397"/>
        <v>38</v>
      </c>
      <c r="D2052" t="s">
        <v>115</v>
      </c>
      <c r="E2052" t="s">
        <v>116</v>
      </c>
      <c r="F2052" t="s">
        <v>117</v>
      </c>
      <c r="H2052" t="s">
        <v>607</v>
      </c>
      <c r="L2052">
        <v>0</v>
      </c>
      <c r="M2052">
        <v>0</v>
      </c>
      <c r="N2052">
        <v>0</v>
      </c>
      <c r="O2052" s="1">
        <v>45582.510162037041</v>
      </c>
      <c r="P2052" t="s">
        <v>392</v>
      </c>
    </row>
    <row r="2053" spans="1:16" x14ac:dyDescent="0.3">
      <c r="A2053" t="s">
        <v>25</v>
      </c>
      <c r="B2053" s="1">
        <v>45582.510104166664</v>
      </c>
      <c r="C2053" t="str">
        <f t="shared" si="397"/>
        <v>38</v>
      </c>
      <c r="D2053" t="s">
        <v>115</v>
      </c>
      <c r="E2053" t="s">
        <v>116</v>
      </c>
      <c r="F2053" t="s">
        <v>117</v>
      </c>
      <c r="H2053" t="s">
        <v>608</v>
      </c>
      <c r="L2053">
        <v>0</v>
      </c>
      <c r="M2053">
        <v>0</v>
      </c>
      <c r="N2053">
        <v>0</v>
      </c>
      <c r="O2053" s="1">
        <v>45582.510104166664</v>
      </c>
      <c r="P2053" t="s">
        <v>392</v>
      </c>
    </row>
    <row r="2054" spans="1:16" x14ac:dyDescent="0.3">
      <c r="A2054" t="s">
        <v>25</v>
      </c>
      <c r="B2054" s="1">
        <v>45582.510069444441</v>
      </c>
      <c r="C2054" t="str">
        <f t="shared" si="397"/>
        <v>38</v>
      </c>
      <c r="D2054" t="s">
        <v>115</v>
      </c>
      <c r="E2054" t="s">
        <v>116</v>
      </c>
      <c r="F2054" t="s">
        <v>117</v>
      </c>
      <c r="H2054" t="s">
        <v>609</v>
      </c>
      <c r="L2054">
        <v>0</v>
      </c>
      <c r="M2054">
        <v>0</v>
      </c>
      <c r="N2054">
        <v>0</v>
      </c>
      <c r="O2054" s="1">
        <v>45582.510069444441</v>
      </c>
      <c r="P2054" t="s">
        <v>392</v>
      </c>
    </row>
    <row r="2055" spans="1:16" x14ac:dyDescent="0.3">
      <c r="A2055" t="s">
        <v>25</v>
      </c>
      <c r="B2055" s="1">
        <v>45582.509722222225</v>
      </c>
      <c r="C2055" t="str">
        <f t="shared" si="397"/>
        <v>38</v>
      </c>
      <c r="D2055" t="s">
        <v>115</v>
      </c>
      <c r="E2055" t="s">
        <v>116</v>
      </c>
      <c r="F2055" t="s">
        <v>117</v>
      </c>
      <c r="H2055" t="s">
        <v>610</v>
      </c>
      <c r="L2055">
        <v>0</v>
      </c>
      <c r="M2055">
        <v>0</v>
      </c>
      <c r="N2055">
        <v>0</v>
      </c>
      <c r="O2055" s="1">
        <v>45582.509722222225</v>
      </c>
      <c r="P2055" t="s">
        <v>392</v>
      </c>
    </row>
    <row r="2056" spans="1:16" x14ac:dyDescent="0.3">
      <c r="A2056" t="s">
        <v>25</v>
      </c>
      <c r="B2056" s="1">
        <v>45582.487592592595</v>
      </c>
      <c r="C2056" t="str">
        <f t="shared" si="397"/>
        <v>38</v>
      </c>
      <c r="D2056" t="s">
        <v>115</v>
      </c>
      <c r="E2056" t="s">
        <v>116</v>
      </c>
      <c r="F2056" t="s">
        <v>117</v>
      </c>
      <c r="H2056" t="s">
        <v>611</v>
      </c>
      <c r="L2056">
        <v>0</v>
      </c>
      <c r="M2056">
        <v>0</v>
      </c>
      <c r="N2056">
        <v>0</v>
      </c>
      <c r="O2056" s="1">
        <v>45582.487592592595</v>
      </c>
      <c r="P2056" t="s">
        <v>119</v>
      </c>
    </row>
    <row r="2057" spans="1:16" x14ac:dyDescent="0.3">
      <c r="A2057" t="s">
        <v>25</v>
      </c>
      <c r="B2057" s="1">
        <v>45582.487592592595</v>
      </c>
      <c r="C2057" t="str">
        <f>"41"</f>
        <v>41</v>
      </c>
      <c r="D2057" t="s">
        <v>120</v>
      </c>
      <c r="E2057" t="s">
        <v>116</v>
      </c>
      <c r="F2057" t="s">
        <v>117</v>
      </c>
      <c r="H2057" t="s">
        <v>611</v>
      </c>
      <c r="I2057" t="str">
        <f>"101050002024573"</f>
        <v>101050002024573</v>
      </c>
      <c r="J2057" t="str">
        <f>"514568"</f>
        <v>514568</v>
      </c>
      <c r="K2057" t="s">
        <v>87</v>
      </c>
      <c r="L2057">
        <v>49</v>
      </c>
      <c r="M2057">
        <v>49</v>
      </c>
      <c r="N2057">
        <v>0</v>
      </c>
      <c r="O2057" s="1">
        <v>45582.487592592595</v>
      </c>
      <c r="P2057" t="s">
        <v>119</v>
      </c>
    </row>
    <row r="2058" spans="1:16" x14ac:dyDescent="0.3">
      <c r="A2058" t="s">
        <v>25</v>
      </c>
      <c r="B2058" s="1">
        <v>45582.487592592595</v>
      </c>
      <c r="C2058" t="str">
        <f>"41"</f>
        <v>41</v>
      </c>
      <c r="D2058" t="s">
        <v>120</v>
      </c>
      <c r="E2058" t="s">
        <v>116</v>
      </c>
      <c r="F2058" t="s">
        <v>117</v>
      </c>
      <c r="H2058" t="s">
        <v>611</v>
      </c>
      <c r="I2058" t="str">
        <f>"101050002024574"</f>
        <v>101050002024574</v>
      </c>
      <c r="J2058" t="str">
        <f>"514568"</f>
        <v>514568</v>
      </c>
      <c r="K2058" t="s">
        <v>87</v>
      </c>
      <c r="L2058">
        <v>49</v>
      </c>
      <c r="M2058">
        <v>49</v>
      </c>
      <c r="N2058">
        <v>0</v>
      </c>
      <c r="O2058" s="1">
        <v>45582.487592592595</v>
      </c>
      <c r="P2058" t="s">
        <v>119</v>
      </c>
    </row>
    <row r="2059" spans="1:16" x14ac:dyDescent="0.3">
      <c r="A2059" t="s">
        <v>25</v>
      </c>
      <c r="B2059" s="1">
        <v>45582.487581018519</v>
      </c>
      <c r="C2059" t="str">
        <f>"41"</f>
        <v>41</v>
      </c>
      <c r="D2059" t="s">
        <v>120</v>
      </c>
      <c r="E2059" t="s">
        <v>116</v>
      </c>
      <c r="F2059" t="s">
        <v>117</v>
      </c>
      <c r="H2059" t="s">
        <v>611</v>
      </c>
      <c r="I2059" t="str">
        <f>"101050002024572"</f>
        <v>101050002024572</v>
      </c>
      <c r="J2059" t="str">
        <f>"514568"</f>
        <v>514568</v>
      </c>
      <c r="K2059" t="s">
        <v>87</v>
      </c>
      <c r="L2059">
        <v>49</v>
      </c>
      <c r="M2059">
        <v>49</v>
      </c>
      <c r="N2059">
        <v>0</v>
      </c>
      <c r="O2059" s="1">
        <v>45582.487581018519</v>
      </c>
      <c r="P2059" t="s">
        <v>119</v>
      </c>
    </row>
    <row r="2060" spans="1:16" x14ac:dyDescent="0.3">
      <c r="A2060" t="s">
        <v>25</v>
      </c>
      <c r="B2060" s="1">
        <v>45582.487581018519</v>
      </c>
      <c r="C2060" t="str">
        <f>"41"</f>
        <v>41</v>
      </c>
      <c r="D2060" t="s">
        <v>120</v>
      </c>
      <c r="E2060" t="s">
        <v>116</v>
      </c>
      <c r="F2060" t="s">
        <v>117</v>
      </c>
      <c r="H2060" t="s">
        <v>611</v>
      </c>
      <c r="I2060" t="str">
        <f>"101050002024305"</f>
        <v>101050002024305</v>
      </c>
      <c r="J2060" t="str">
        <f>"514568"</f>
        <v>514568</v>
      </c>
      <c r="K2060" t="s">
        <v>87</v>
      </c>
      <c r="L2060">
        <v>49</v>
      </c>
      <c r="M2060">
        <v>49</v>
      </c>
      <c r="N2060">
        <v>0</v>
      </c>
      <c r="O2060" s="1">
        <v>45582.487581018519</v>
      </c>
      <c r="P2060" t="s">
        <v>119</v>
      </c>
    </row>
    <row r="2061" spans="1:16" x14ac:dyDescent="0.3">
      <c r="A2061" t="s">
        <v>25</v>
      </c>
      <c r="B2061" s="1">
        <v>45582.486909722225</v>
      </c>
      <c r="C2061" t="str">
        <f>"38"</f>
        <v>38</v>
      </c>
      <c r="D2061" t="s">
        <v>115</v>
      </c>
      <c r="E2061" t="s">
        <v>116</v>
      </c>
      <c r="F2061" t="s">
        <v>117</v>
      </c>
      <c r="H2061" t="s">
        <v>612</v>
      </c>
      <c r="L2061">
        <v>0</v>
      </c>
      <c r="M2061">
        <v>0</v>
      </c>
      <c r="N2061">
        <v>0</v>
      </c>
      <c r="O2061" s="1">
        <v>45582.486909722225</v>
      </c>
      <c r="P2061" t="s">
        <v>122</v>
      </c>
    </row>
    <row r="2062" spans="1:16" x14ac:dyDescent="0.3">
      <c r="A2062" t="s">
        <v>25</v>
      </c>
      <c r="B2062" s="1">
        <v>45582.486759259256</v>
      </c>
      <c r="C2062" t="str">
        <f>"38"</f>
        <v>38</v>
      </c>
      <c r="D2062" t="s">
        <v>115</v>
      </c>
      <c r="E2062" t="s">
        <v>116</v>
      </c>
      <c r="F2062" t="s">
        <v>117</v>
      </c>
      <c r="H2062" t="s">
        <v>613</v>
      </c>
      <c r="L2062">
        <v>0</v>
      </c>
      <c r="M2062">
        <v>0</v>
      </c>
      <c r="N2062">
        <v>0</v>
      </c>
      <c r="O2062" s="1">
        <v>45582.486759259256</v>
      </c>
      <c r="P2062" t="s">
        <v>119</v>
      </c>
    </row>
    <row r="2063" spans="1:16" x14ac:dyDescent="0.3">
      <c r="A2063" t="s">
        <v>25</v>
      </c>
      <c r="B2063" s="1">
        <v>45582.486759259256</v>
      </c>
      <c r="C2063" t="str">
        <f t="shared" ref="C2063:C2074" si="398">"41"</f>
        <v>41</v>
      </c>
      <c r="D2063" t="s">
        <v>120</v>
      </c>
      <c r="E2063" t="s">
        <v>116</v>
      </c>
      <c r="F2063" t="s">
        <v>117</v>
      </c>
      <c r="H2063" t="s">
        <v>613</v>
      </c>
      <c r="I2063" t="str">
        <f>"101050001989739"</f>
        <v>101050001989739</v>
      </c>
      <c r="J2063" t="str">
        <f t="shared" ref="J2063:J2068" si="399">"124358"</f>
        <v>124358</v>
      </c>
      <c r="K2063" t="s">
        <v>33</v>
      </c>
      <c r="L2063">
        <v>91</v>
      </c>
      <c r="M2063">
        <v>91</v>
      </c>
      <c r="N2063">
        <v>0</v>
      </c>
      <c r="O2063" s="1">
        <v>45582.486759259256</v>
      </c>
      <c r="P2063" t="s">
        <v>119</v>
      </c>
    </row>
    <row r="2064" spans="1:16" x14ac:dyDescent="0.3">
      <c r="A2064" t="s">
        <v>25</v>
      </c>
      <c r="B2064" s="1">
        <v>45582.486759259256</v>
      </c>
      <c r="C2064" t="str">
        <f t="shared" si="398"/>
        <v>41</v>
      </c>
      <c r="D2064" t="s">
        <v>120</v>
      </c>
      <c r="E2064" t="s">
        <v>116</v>
      </c>
      <c r="F2064" t="s">
        <v>117</v>
      </c>
      <c r="H2064" t="s">
        <v>613</v>
      </c>
      <c r="I2064" t="str">
        <f>"101050001989552"</f>
        <v>101050001989552</v>
      </c>
      <c r="J2064" t="str">
        <f t="shared" si="399"/>
        <v>124358</v>
      </c>
      <c r="K2064" t="s">
        <v>33</v>
      </c>
      <c r="L2064">
        <v>91</v>
      </c>
      <c r="M2064">
        <v>91</v>
      </c>
      <c r="N2064">
        <v>0</v>
      </c>
      <c r="O2064" s="1">
        <v>45582.486759259256</v>
      </c>
      <c r="P2064" t="s">
        <v>119</v>
      </c>
    </row>
    <row r="2065" spans="1:16" x14ac:dyDescent="0.3">
      <c r="A2065" t="s">
        <v>25</v>
      </c>
      <c r="B2065" s="1">
        <v>45582.486759259256</v>
      </c>
      <c r="C2065" t="str">
        <f t="shared" si="398"/>
        <v>41</v>
      </c>
      <c r="D2065" t="s">
        <v>120</v>
      </c>
      <c r="E2065" t="s">
        <v>116</v>
      </c>
      <c r="F2065" t="s">
        <v>117</v>
      </c>
      <c r="H2065" t="s">
        <v>613</v>
      </c>
      <c r="I2065" t="str">
        <f>"101050001989651"</f>
        <v>101050001989651</v>
      </c>
      <c r="J2065" t="str">
        <f t="shared" si="399"/>
        <v>124358</v>
      </c>
      <c r="K2065" t="s">
        <v>33</v>
      </c>
      <c r="L2065">
        <v>91</v>
      </c>
      <c r="M2065">
        <v>91</v>
      </c>
      <c r="N2065">
        <v>0</v>
      </c>
      <c r="O2065" s="1">
        <v>45582.486759259256</v>
      </c>
      <c r="P2065" t="s">
        <v>119</v>
      </c>
    </row>
    <row r="2066" spans="1:16" x14ac:dyDescent="0.3">
      <c r="A2066" t="s">
        <v>25</v>
      </c>
      <c r="B2066" s="1">
        <v>45582.486759259256</v>
      </c>
      <c r="C2066" t="str">
        <f t="shared" si="398"/>
        <v>41</v>
      </c>
      <c r="D2066" t="s">
        <v>120</v>
      </c>
      <c r="E2066" t="s">
        <v>116</v>
      </c>
      <c r="F2066" t="s">
        <v>117</v>
      </c>
      <c r="H2066" t="s">
        <v>613</v>
      </c>
      <c r="I2066" t="str">
        <f>"101050001966295"</f>
        <v>101050001966295</v>
      </c>
      <c r="J2066" t="str">
        <f t="shared" si="399"/>
        <v>124358</v>
      </c>
      <c r="K2066" t="s">
        <v>33</v>
      </c>
      <c r="L2066">
        <v>91</v>
      </c>
      <c r="M2066">
        <v>91</v>
      </c>
      <c r="N2066">
        <v>0</v>
      </c>
      <c r="O2066" s="1">
        <v>45582.486759259256</v>
      </c>
      <c r="P2066" t="s">
        <v>119</v>
      </c>
    </row>
    <row r="2067" spans="1:16" x14ac:dyDescent="0.3">
      <c r="A2067" t="s">
        <v>25</v>
      </c>
      <c r="B2067" s="1">
        <v>45582.486759259256</v>
      </c>
      <c r="C2067" t="str">
        <f t="shared" si="398"/>
        <v>41</v>
      </c>
      <c r="D2067" t="s">
        <v>120</v>
      </c>
      <c r="E2067" t="s">
        <v>116</v>
      </c>
      <c r="F2067" t="s">
        <v>117</v>
      </c>
      <c r="H2067" t="s">
        <v>613</v>
      </c>
      <c r="I2067" t="str">
        <f>"101050001966704"</f>
        <v>101050001966704</v>
      </c>
      <c r="J2067" t="str">
        <f t="shared" si="399"/>
        <v>124358</v>
      </c>
      <c r="K2067" t="s">
        <v>33</v>
      </c>
      <c r="L2067">
        <v>91</v>
      </c>
      <c r="M2067">
        <v>91</v>
      </c>
      <c r="N2067">
        <v>0</v>
      </c>
      <c r="O2067" s="1">
        <v>45582.486759259256</v>
      </c>
      <c r="P2067" t="s">
        <v>119</v>
      </c>
    </row>
    <row r="2068" spans="1:16" x14ac:dyDescent="0.3">
      <c r="A2068" t="s">
        <v>25</v>
      </c>
      <c r="B2068" s="1">
        <v>45582.486747685187</v>
      </c>
      <c r="C2068" t="str">
        <f t="shared" si="398"/>
        <v>41</v>
      </c>
      <c r="D2068" t="s">
        <v>120</v>
      </c>
      <c r="E2068" t="s">
        <v>116</v>
      </c>
      <c r="F2068" t="s">
        <v>117</v>
      </c>
      <c r="H2068" t="s">
        <v>613</v>
      </c>
      <c r="I2068" t="str">
        <f>"101050001967003"</f>
        <v>101050001967003</v>
      </c>
      <c r="J2068" t="str">
        <f t="shared" si="399"/>
        <v>124358</v>
      </c>
      <c r="K2068" t="s">
        <v>33</v>
      </c>
      <c r="L2068">
        <v>91</v>
      </c>
      <c r="M2068">
        <v>91</v>
      </c>
      <c r="N2068">
        <v>0</v>
      </c>
      <c r="O2068" s="1">
        <v>45582.486747685187</v>
      </c>
      <c r="P2068" t="s">
        <v>119</v>
      </c>
    </row>
    <row r="2069" spans="1:16" x14ac:dyDescent="0.3">
      <c r="A2069" t="s">
        <v>25</v>
      </c>
      <c r="B2069" s="1">
        <v>45582.486909722225</v>
      </c>
      <c r="C2069" t="str">
        <f t="shared" si="398"/>
        <v>41</v>
      </c>
      <c r="D2069" t="s">
        <v>120</v>
      </c>
      <c r="E2069" t="s">
        <v>116</v>
      </c>
      <c r="F2069" t="s">
        <v>117</v>
      </c>
      <c r="H2069" t="s">
        <v>612</v>
      </c>
      <c r="I2069" t="str">
        <f>"101050002006533"</f>
        <v>101050002006533</v>
      </c>
      <c r="J2069" t="str">
        <f t="shared" ref="J2069:J2074" si="400">"31090"</f>
        <v>31090</v>
      </c>
      <c r="K2069" t="s">
        <v>76</v>
      </c>
      <c r="L2069">
        <v>49</v>
      </c>
      <c r="M2069">
        <v>49</v>
      </c>
      <c r="N2069">
        <v>0</v>
      </c>
      <c r="O2069" s="1">
        <v>45582.486909722225</v>
      </c>
      <c r="P2069" t="s">
        <v>122</v>
      </c>
    </row>
    <row r="2070" spans="1:16" x14ac:dyDescent="0.3">
      <c r="A2070" t="s">
        <v>25</v>
      </c>
      <c r="B2070" s="1">
        <v>45582.486898148149</v>
      </c>
      <c r="C2070" t="str">
        <f t="shared" si="398"/>
        <v>41</v>
      </c>
      <c r="D2070" t="s">
        <v>120</v>
      </c>
      <c r="E2070" t="s">
        <v>116</v>
      </c>
      <c r="F2070" t="s">
        <v>117</v>
      </c>
      <c r="H2070" t="s">
        <v>612</v>
      </c>
      <c r="I2070" t="str">
        <f>"101050002006474"</f>
        <v>101050002006474</v>
      </c>
      <c r="J2070" t="str">
        <f t="shared" si="400"/>
        <v>31090</v>
      </c>
      <c r="K2070" t="s">
        <v>76</v>
      </c>
      <c r="L2070">
        <v>49</v>
      </c>
      <c r="M2070">
        <v>49</v>
      </c>
      <c r="N2070">
        <v>0</v>
      </c>
      <c r="O2070" s="1">
        <v>45582.486898148149</v>
      </c>
      <c r="P2070" t="s">
        <v>122</v>
      </c>
    </row>
    <row r="2071" spans="1:16" x14ac:dyDescent="0.3">
      <c r="A2071" t="s">
        <v>25</v>
      </c>
      <c r="B2071" s="1">
        <v>45582.486898148149</v>
      </c>
      <c r="C2071" t="str">
        <f t="shared" si="398"/>
        <v>41</v>
      </c>
      <c r="D2071" t="s">
        <v>120</v>
      </c>
      <c r="E2071" t="s">
        <v>116</v>
      </c>
      <c r="F2071" t="s">
        <v>117</v>
      </c>
      <c r="H2071" t="s">
        <v>612</v>
      </c>
      <c r="I2071" t="str">
        <f>"101050002006516"</f>
        <v>101050002006516</v>
      </c>
      <c r="J2071" t="str">
        <f t="shared" si="400"/>
        <v>31090</v>
      </c>
      <c r="K2071" t="s">
        <v>76</v>
      </c>
      <c r="L2071">
        <v>49</v>
      </c>
      <c r="M2071">
        <v>49</v>
      </c>
      <c r="N2071">
        <v>0</v>
      </c>
      <c r="O2071" s="1">
        <v>45582.486898148149</v>
      </c>
      <c r="P2071" t="s">
        <v>122</v>
      </c>
    </row>
    <row r="2072" spans="1:16" x14ac:dyDescent="0.3">
      <c r="A2072" t="s">
        <v>25</v>
      </c>
      <c r="B2072" s="1">
        <v>45582.486898148149</v>
      </c>
      <c r="C2072" t="str">
        <f t="shared" si="398"/>
        <v>41</v>
      </c>
      <c r="D2072" t="s">
        <v>120</v>
      </c>
      <c r="E2072" t="s">
        <v>116</v>
      </c>
      <c r="F2072" t="s">
        <v>117</v>
      </c>
      <c r="H2072" t="s">
        <v>612</v>
      </c>
      <c r="I2072" t="str">
        <f>"101050002006521"</f>
        <v>101050002006521</v>
      </c>
      <c r="J2072" t="str">
        <f t="shared" si="400"/>
        <v>31090</v>
      </c>
      <c r="K2072" t="s">
        <v>76</v>
      </c>
      <c r="L2072">
        <v>49</v>
      </c>
      <c r="M2072">
        <v>49</v>
      </c>
      <c r="N2072">
        <v>0</v>
      </c>
      <c r="O2072" s="1">
        <v>45582.486898148149</v>
      </c>
      <c r="P2072" t="s">
        <v>122</v>
      </c>
    </row>
    <row r="2073" spans="1:16" x14ac:dyDescent="0.3">
      <c r="A2073" t="s">
        <v>25</v>
      </c>
      <c r="B2073" s="1">
        <v>45582.486898148149</v>
      </c>
      <c r="C2073" t="str">
        <f t="shared" si="398"/>
        <v>41</v>
      </c>
      <c r="D2073" t="s">
        <v>120</v>
      </c>
      <c r="E2073" t="s">
        <v>116</v>
      </c>
      <c r="F2073" t="s">
        <v>117</v>
      </c>
      <c r="H2073" t="s">
        <v>612</v>
      </c>
      <c r="I2073" t="str">
        <f>"101050002006691"</f>
        <v>101050002006691</v>
      </c>
      <c r="J2073" t="str">
        <f t="shared" si="400"/>
        <v>31090</v>
      </c>
      <c r="K2073" t="s">
        <v>76</v>
      </c>
      <c r="L2073">
        <v>49</v>
      </c>
      <c r="M2073">
        <v>49</v>
      </c>
      <c r="N2073">
        <v>0</v>
      </c>
      <c r="O2073" s="1">
        <v>45582.486898148149</v>
      </c>
      <c r="P2073" t="s">
        <v>122</v>
      </c>
    </row>
    <row r="2074" spans="1:16" x14ac:dyDescent="0.3">
      <c r="A2074" t="s">
        <v>25</v>
      </c>
      <c r="B2074" s="1">
        <v>45582.486898148149</v>
      </c>
      <c r="C2074" t="str">
        <f t="shared" si="398"/>
        <v>41</v>
      </c>
      <c r="D2074" t="s">
        <v>120</v>
      </c>
      <c r="E2074" t="s">
        <v>116</v>
      </c>
      <c r="F2074" t="s">
        <v>117</v>
      </c>
      <c r="H2074" t="s">
        <v>612</v>
      </c>
      <c r="I2074" t="str">
        <f>"101050002006690"</f>
        <v>101050002006690</v>
      </c>
      <c r="J2074" t="str">
        <f t="shared" si="400"/>
        <v>31090</v>
      </c>
      <c r="K2074" t="s">
        <v>76</v>
      </c>
      <c r="L2074">
        <v>49</v>
      </c>
      <c r="M2074">
        <v>49</v>
      </c>
      <c r="N2074">
        <v>0</v>
      </c>
      <c r="O2074" s="1">
        <v>45582.486898148149</v>
      </c>
      <c r="P2074" t="s">
        <v>122</v>
      </c>
    </row>
    <row r="2075" spans="1:16" x14ac:dyDescent="0.3">
      <c r="A2075" t="s">
        <v>25</v>
      </c>
      <c r="B2075" s="1">
        <v>45582.486296296294</v>
      </c>
      <c r="C2075" t="str">
        <f>"38"</f>
        <v>38</v>
      </c>
      <c r="D2075" t="s">
        <v>115</v>
      </c>
      <c r="E2075" t="s">
        <v>116</v>
      </c>
      <c r="F2075" t="s">
        <v>117</v>
      </c>
      <c r="H2075" t="s">
        <v>614</v>
      </c>
      <c r="L2075">
        <v>0</v>
      </c>
      <c r="M2075">
        <v>0</v>
      </c>
      <c r="N2075">
        <v>0</v>
      </c>
      <c r="O2075" s="1">
        <v>45582.486296296294</v>
      </c>
      <c r="P2075" t="s">
        <v>122</v>
      </c>
    </row>
    <row r="2076" spans="1:16" x14ac:dyDescent="0.3">
      <c r="A2076" t="s">
        <v>25</v>
      </c>
      <c r="B2076" s="1">
        <v>45582.486296296294</v>
      </c>
      <c r="C2076" t="str">
        <f>"41"</f>
        <v>41</v>
      </c>
      <c r="D2076" t="s">
        <v>120</v>
      </c>
      <c r="E2076" t="s">
        <v>116</v>
      </c>
      <c r="F2076" t="s">
        <v>117</v>
      </c>
      <c r="H2076" t="s">
        <v>614</v>
      </c>
      <c r="I2076" t="str">
        <f>"101050002006036"</f>
        <v>101050002006036</v>
      </c>
      <c r="J2076" t="str">
        <f>"514496"</f>
        <v>514496</v>
      </c>
      <c r="K2076" t="s">
        <v>12</v>
      </c>
      <c r="L2076">
        <v>49</v>
      </c>
      <c r="M2076">
        <v>49</v>
      </c>
      <c r="N2076">
        <v>0</v>
      </c>
      <c r="O2076" s="1">
        <v>45582.486296296294</v>
      </c>
      <c r="P2076" t="s">
        <v>122</v>
      </c>
    </row>
    <row r="2077" spans="1:16" x14ac:dyDescent="0.3">
      <c r="A2077" t="s">
        <v>25</v>
      </c>
      <c r="B2077" s="1">
        <v>45582.483460648145</v>
      </c>
      <c r="C2077" t="str">
        <f>"38"</f>
        <v>38</v>
      </c>
      <c r="D2077" t="s">
        <v>115</v>
      </c>
      <c r="E2077" t="s">
        <v>116</v>
      </c>
      <c r="F2077" t="s">
        <v>117</v>
      </c>
      <c r="H2077" t="s">
        <v>615</v>
      </c>
      <c r="L2077">
        <v>0</v>
      </c>
      <c r="M2077">
        <v>0</v>
      </c>
      <c r="N2077">
        <v>0</v>
      </c>
      <c r="O2077" s="1">
        <v>45582.483460648145</v>
      </c>
      <c r="P2077" t="s">
        <v>119</v>
      </c>
    </row>
    <row r="2078" spans="1:16" x14ac:dyDescent="0.3">
      <c r="A2078" t="s">
        <v>25</v>
      </c>
      <c r="B2078" s="1">
        <v>45582.483460648145</v>
      </c>
      <c r="C2078" t="str">
        <f t="shared" ref="C2078:C2084" si="401">"41"</f>
        <v>41</v>
      </c>
      <c r="D2078" t="s">
        <v>120</v>
      </c>
      <c r="E2078" t="s">
        <v>116</v>
      </c>
      <c r="F2078" t="s">
        <v>117</v>
      </c>
      <c r="H2078" t="s">
        <v>615</v>
      </c>
      <c r="I2078" t="str">
        <f>"101050002014795"</f>
        <v>101050002014795</v>
      </c>
      <c r="J2078" t="str">
        <f t="shared" ref="J2078:J2084" si="402">"31090"</f>
        <v>31090</v>
      </c>
      <c r="K2078" t="s">
        <v>76</v>
      </c>
      <c r="L2078">
        <v>49</v>
      </c>
      <c r="M2078">
        <v>49</v>
      </c>
      <c r="N2078">
        <v>0</v>
      </c>
      <c r="O2078" s="1">
        <v>45582.483460648145</v>
      </c>
      <c r="P2078" t="s">
        <v>119</v>
      </c>
    </row>
    <row r="2079" spans="1:16" x14ac:dyDescent="0.3">
      <c r="A2079" t="s">
        <v>25</v>
      </c>
      <c r="B2079" s="1">
        <v>45582.483460648145</v>
      </c>
      <c r="C2079" t="str">
        <f t="shared" si="401"/>
        <v>41</v>
      </c>
      <c r="D2079" t="s">
        <v>120</v>
      </c>
      <c r="E2079" t="s">
        <v>116</v>
      </c>
      <c r="F2079" t="s">
        <v>117</v>
      </c>
      <c r="H2079" t="s">
        <v>615</v>
      </c>
      <c r="I2079" t="str">
        <f>"101050002014792"</f>
        <v>101050002014792</v>
      </c>
      <c r="J2079" t="str">
        <f t="shared" si="402"/>
        <v>31090</v>
      </c>
      <c r="K2079" t="s">
        <v>76</v>
      </c>
      <c r="L2079">
        <v>49</v>
      </c>
      <c r="M2079">
        <v>49</v>
      </c>
      <c r="N2079">
        <v>0</v>
      </c>
      <c r="O2079" s="1">
        <v>45582.483460648145</v>
      </c>
      <c r="P2079" t="s">
        <v>119</v>
      </c>
    </row>
    <row r="2080" spans="1:16" x14ac:dyDescent="0.3">
      <c r="A2080" t="s">
        <v>25</v>
      </c>
      <c r="B2080" s="1">
        <v>45582.483460648145</v>
      </c>
      <c r="C2080" t="str">
        <f t="shared" si="401"/>
        <v>41</v>
      </c>
      <c r="D2080" t="s">
        <v>120</v>
      </c>
      <c r="E2080" t="s">
        <v>116</v>
      </c>
      <c r="F2080" t="s">
        <v>117</v>
      </c>
      <c r="H2080" t="s">
        <v>615</v>
      </c>
      <c r="I2080" t="str">
        <f>"101050002014789"</f>
        <v>101050002014789</v>
      </c>
      <c r="J2080" t="str">
        <f t="shared" si="402"/>
        <v>31090</v>
      </c>
      <c r="K2080" t="s">
        <v>76</v>
      </c>
      <c r="L2080">
        <v>49</v>
      </c>
      <c r="M2080">
        <v>49</v>
      </c>
      <c r="N2080">
        <v>0</v>
      </c>
      <c r="O2080" s="1">
        <v>45582.483460648145</v>
      </c>
      <c r="P2080" t="s">
        <v>119</v>
      </c>
    </row>
    <row r="2081" spans="1:16" x14ac:dyDescent="0.3">
      <c r="A2081" t="s">
        <v>25</v>
      </c>
      <c r="B2081" s="1">
        <v>45582.483460648145</v>
      </c>
      <c r="C2081" t="str">
        <f t="shared" si="401"/>
        <v>41</v>
      </c>
      <c r="D2081" t="s">
        <v>120</v>
      </c>
      <c r="E2081" t="s">
        <v>116</v>
      </c>
      <c r="F2081" t="s">
        <v>117</v>
      </c>
      <c r="H2081" t="s">
        <v>615</v>
      </c>
      <c r="I2081" t="str">
        <f>"101050002014790"</f>
        <v>101050002014790</v>
      </c>
      <c r="J2081" t="str">
        <f t="shared" si="402"/>
        <v>31090</v>
      </c>
      <c r="K2081" t="s">
        <v>76</v>
      </c>
      <c r="L2081">
        <v>49</v>
      </c>
      <c r="M2081">
        <v>49</v>
      </c>
      <c r="N2081">
        <v>0</v>
      </c>
      <c r="O2081" s="1">
        <v>45582.483460648145</v>
      </c>
      <c r="P2081" t="s">
        <v>119</v>
      </c>
    </row>
    <row r="2082" spans="1:16" x14ac:dyDescent="0.3">
      <c r="A2082" t="s">
        <v>25</v>
      </c>
      <c r="B2082" s="1">
        <v>45582.483460648145</v>
      </c>
      <c r="C2082" t="str">
        <f t="shared" si="401"/>
        <v>41</v>
      </c>
      <c r="D2082" t="s">
        <v>120</v>
      </c>
      <c r="E2082" t="s">
        <v>116</v>
      </c>
      <c r="F2082" t="s">
        <v>117</v>
      </c>
      <c r="H2082" t="s">
        <v>615</v>
      </c>
      <c r="I2082" t="str">
        <f>"101050002014787"</f>
        <v>101050002014787</v>
      </c>
      <c r="J2082" t="str">
        <f t="shared" si="402"/>
        <v>31090</v>
      </c>
      <c r="K2082" t="s">
        <v>76</v>
      </c>
      <c r="L2082">
        <v>49</v>
      </c>
      <c r="M2082">
        <v>49</v>
      </c>
      <c r="N2082">
        <v>0</v>
      </c>
      <c r="O2082" s="1">
        <v>45582.483460648145</v>
      </c>
      <c r="P2082" t="s">
        <v>119</v>
      </c>
    </row>
    <row r="2083" spans="1:16" x14ac:dyDescent="0.3">
      <c r="A2083" t="s">
        <v>25</v>
      </c>
      <c r="B2083" s="1">
        <v>45582.483460648145</v>
      </c>
      <c r="C2083" t="str">
        <f t="shared" si="401"/>
        <v>41</v>
      </c>
      <c r="D2083" t="s">
        <v>120</v>
      </c>
      <c r="E2083" t="s">
        <v>116</v>
      </c>
      <c r="F2083" t="s">
        <v>117</v>
      </c>
      <c r="H2083" t="s">
        <v>615</v>
      </c>
      <c r="I2083" t="str">
        <f>"101050002014779"</f>
        <v>101050002014779</v>
      </c>
      <c r="J2083" t="str">
        <f t="shared" si="402"/>
        <v>31090</v>
      </c>
      <c r="K2083" t="s">
        <v>76</v>
      </c>
      <c r="L2083">
        <v>49</v>
      </c>
      <c r="M2083">
        <v>49</v>
      </c>
      <c r="N2083">
        <v>0</v>
      </c>
      <c r="O2083" s="1">
        <v>45582.483460648145</v>
      </c>
      <c r="P2083" t="s">
        <v>119</v>
      </c>
    </row>
    <row r="2084" spans="1:16" x14ac:dyDescent="0.3">
      <c r="A2084" t="s">
        <v>25</v>
      </c>
      <c r="B2084" s="1">
        <v>45582.483449074076</v>
      </c>
      <c r="C2084" t="str">
        <f t="shared" si="401"/>
        <v>41</v>
      </c>
      <c r="D2084" t="s">
        <v>120</v>
      </c>
      <c r="E2084" t="s">
        <v>116</v>
      </c>
      <c r="F2084" t="s">
        <v>117</v>
      </c>
      <c r="H2084" t="s">
        <v>615</v>
      </c>
      <c r="I2084" t="str">
        <f>"101050002014822"</f>
        <v>101050002014822</v>
      </c>
      <c r="J2084" t="str">
        <f t="shared" si="402"/>
        <v>31090</v>
      </c>
      <c r="K2084" t="s">
        <v>76</v>
      </c>
      <c r="L2084">
        <v>49</v>
      </c>
      <c r="M2084">
        <v>49</v>
      </c>
      <c r="N2084">
        <v>0</v>
      </c>
      <c r="O2084" s="1">
        <v>45582.483449074076</v>
      </c>
      <c r="P2084" t="s">
        <v>119</v>
      </c>
    </row>
    <row r="2085" spans="1:16" x14ac:dyDescent="0.3">
      <c r="A2085" t="s">
        <v>25</v>
      </c>
      <c r="B2085" s="1">
        <v>45582.483657407407</v>
      </c>
      <c r="C2085" t="str">
        <f>"38"</f>
        <v>38</v>
      </c>
      <c r="D2085" t="s">
        <v>115</v>
      </c>
      <c r="E2085" t="s">
        <v>116</v>
      </c>
      <c r="F2085" t="s">
        <v>117</v>
      </c>
      <c r="H2085" t="s">
        <v>616</v>
      </c>
      <c r="L2085">
        <v>0</v>
      </c>
      <c r="M2085">
        <v>0</v>
      </c>
      <c r="N2085">
        <v>0</v>
      </c>
      <c r="O2085" s="1">
        <v>45582.483657407407</v>
      </c>
      <c r="P2085" t="s">
        <v>125</v>
      </c>
    </row>
    <row r="2086" spans="1:16" x14ac:dyDescent="0.3">
      <c r="A2086" t="s">
        <v>25</v>
      </c>
      <c r="B2086" s="1">
        <v>45582.483657407407</v>
      </c>
      <c r="C2086" t="str">
        <f>"41"</f>
        <v>41</v>
      </c>
      <c r="D2086" t="s">
        <v>120</v>
      </c>
      <c r="E2086" t="s">
        <v>116</v>
      </c>
      <c r="F2086" t="s">
        <v>117</v>
      </c>
      <c r="H2086" t="s">
        <v>616</v>
      </c>
      <c r="I2086" t="str">
        <f>"101050002006384"</f>
        <v>101050002006384</v>
      </c>
      <c r="J2086" t="str">
        <f>"123051"</f>
        <v>123051</v>
      </c>
      <c r="K2086" t="s">
        <v>27</v>
      </c>
      <c r="L2086">
        <v>49</v>
      </c>
      <c r="M2086">
        <v>49</v>
      </c>
      <c r="N2086">
        <v>0</v>
      </c>
      <c r="O2086" s="1">
        <v>45582.483657407407</v>
      </c>
      <c r="P2086" t="s">
        <v>125</v>
      </c>
    </row>
    <row r="2087" spans="1:16" x14ac:dyDescent="0.3">
      <c r="A2087" t="s">
        <v>25</v>
      </c>
      <c r="B2087" s="1">
        <v>45582.483483796299</v>
      </c>
      <c r="C2087" t="str">
        <f>"38"</f>
        <v>38</v>
      </c>
      <c r="D2087" t="s">
        <v>115</v>
      </c>
      <c r="E2087" t="s">
        <v>116</v>
      </c>
      <c r="F2087" t="s">
        <v>117</v>
      </c>
      <c r="H2087" t="s">
        <v>616</v>
      </c>
      <c r="L2087">
        <v>0</v>
      </c>
      <c r="M2087">
        <v>0</v>
      </c>
      <c r="N2087">
        <v>0</v>
      </c>
      <c r="O2087" s="1">
        <v>45582.483483796299</v>
      </c>
      <c r="P2087" t="s">
        <v>125</v>
      </c>
    </row>
    <row r="2088" spans="1:16" x14ac:dyDescent="0.3">
      <c r="A2088" t="s">
        <v>25</v>
      </c>
      <c r="B2088" s="1">
        <v>45582.483483796299</v>
      </c>
      <c r="C2088" t="str">
        <f>"41"</f>
        <v>41</v>
      </c>
      <c r="D2088" t="s">
        <v>120</v>
      </c>
      <c r="E2088" t="s">
        <v>116</v>
      </c>
      <c r="F2088" t="s">
        <v>117</v>
      </c>
      <c r="H2088" t="s">
        <v>616</v>
      </c>
      <c r="I2088" t="str">
        <f>"101050002006384"</f>
        <v>101050002006384</v>
      </c>
      <c r="J2088" t="str">
        <f>"123051"</f>
        <v>123051</v>
      </c>
      <c r="K2088" t="s">
        <v>27</v>
      </c>
      <c r="L2088">
        <v>49</v>
      </c>
      <c r="M2088">
        <v>49</v>
      </c>
      <c r="N2088">
        <v>0</v>
      </c>
      <c r="O2088" s="1">
        <v>45582.483483796299</v>
      </c>
      <c r="P2088" t="s">
        <v>125</v>
      </c>
    </row>
    <row r="2089" spans="1:16" x14ac:dyDescent="0.3">
      <c r="A2089" t="s">
        <v>25</v>
      </c>
      <c r="B2089" s="1">
        <v>45582.483483796299</v>
      </c>
      <c r="C2089" t="str">
        <f>"39"</f>
        <v>39</v>
      </c>
      <c r="D2089" t="s">
        <v>467</v>
      </c>
      <c r="E2089" t="s">
        <v>116</v>
      </c>
      <c r="F2089" t="s">
        <v>117</v>
      </c>
      <c r="G2089" t="s">
        <v>221</v>
      </c>
      <c r="H2089" t="s">
        <v>616</v>
      </c>
      <c r="I2089" t="str">
        <f>"101050002006384"</f>
        <v>101050002006384</v>
      </c>
      <c r="J2089" t="str">
        <f>"123051"</f>
        <v>123051</v>
      </c>
      <c r="K2089" t="s">
        <v>27</v>
      </c>
      <c r="L2089">
        <v>0</v>
      </c>
      <c r="M2089">
        <v>49</v>
      </c>
      <c r="N2089">
        <v>49</v>
      </c>
      <c r="O2089" s="1">
        <v>45582.483483796299</v>
      </c>
      <c r="P2089" t="s">
        <v>125</v>
      </c>
    </row>
    <row r="2090" spans="1:16" x14ac:dyDescent="0.3">
      <c r="A2090" t="s">
        <v>25</v>
      </c>
      <c r="B2090" s="1">
        <v>45582.481840277775</v>
      </c>
      <c r="C2090" t="str">
        <f>"38"</f>
        <v>38</v>
      </c>
      <c r="D2090" t="s">
        <v>115</v>
      </c>
      <c r="E2090" t="s">
        <v>116</v>
      </c>
      <c r="F2090" t="s">
        <v>117</v>
      </c>
      <c r="H2090" t="s">
        <v>617</v>
      </c>
      <c r="L2090">
        <v>0</v>
      </c>
      <c r="M2090">
        <v>0</v>
      </c>
      <c r="N2090">
        <v>0</v>
      </c>
      <c r="O2090" s="1">
        <v>45582.481840277775</v>
      </c>
      <c r="P2090" t="s">
        <v>119</v>
      </c>
    </row>
    <row r="2091" spans="1:16" x14ac:dyDescent="0.3">
      <c r="A2091" t="s">
        <v>25</v>
      </c>
      <c r="B2091" s="1">
        <v>45582.481840277775</v>
      </c>
      <c r="C2091" t="str">
        <f>"40"</f>
        <v>40</v>
      </c>
      <c r="D2091" t="s">
        <v>220</v>
      </c>
      <c r="E2091" t="s">
        <v>116</v>
      </c>
      <c r="F2091" t="s">
        <v>117</v>
      </c>
      <c r="G2091" t="s">
        <v>221</v>
      </c>
      <c r="H2091" t="s">
        <v>617</v>
      </c>
      <c r="I2091" t="str">
        <f>"101050001977674"</f>
        <v>101050001977674</v>
      </c>
      <c r="J2091" t="str">
        <f t="shared" ref="J2091:J2097" si="403">"514568"</f>
        <v>514568</v>
      </c>
      <c r="K2091" t="s">
        <v>87</v>
      </c>
      <c r="L2091">
        <v>49</v>
      </c>
      <c r="M2091">
        <v>0</v>
      </c>
      <c r="N2091">
        <v>-49</v>
      </c>
      <c r="O2091" s="1">
        <v>45582.481840277775</v>
      </c>
      <c r="P2091" t="s">
        <v>119</v>
      </c>
    </row>
    <row r="2092" spans="1:16" x14ac:dyDescent="0.3">
      <c r="A2092" t="s">
        <v>25</v>
      </c>
      <c r="B2092" s="1">
        <v>45582.481828703705</v>
      </c>
      <c r="C2092" t="str">
        <f t="shared" ref="C2092:C2097" si="404">"41"</f>
        <v>41</v>
      </c>
      <c r="D2092" t="s">
        <v>120</v>
      </c>
      <c r="E2092" t="s">
        <v>116</v>
      </c>
      <c r="F2092" t="s">
        <v>117</v>
      </c>
      <c r="H2092" t="s">
        <v>617</v>
      </c>
      <c r="I2092" t="str">
        <f>"101050002024304"</f>
        <v>101050002024304</v>
      </c>
      <c r="J2092" t="str">
        <f t="shared" si="403"/>
        <v>514568</v>
      </c>
      <c r="K2092" t="s">
        <v>87</v>
      </c>
      <c r="L2092">
        <v>49</v>
      </c>
      <c r="M2092">
        <v>49</v>
      </c>
      <c r="N2092">
        <v>0</v>
      </c>
      <c r="O2092" s="1">
        <v>45582.481828703705</v>
      </c>
      <c r="P2092" t="s">
        <v>119</v>
      </c>
    </row>
    <row r="2093" spans="1:16" x14ac:dyDescent="0.3">
      <c r="A2093" t="s">
        <v>25</v>
      </c>
      <c r="B2093" s="1">
        <v>45582.481828703705</v>
      </c>
      <c r="C2093" t="str">
        <f t="shared" si="404"/>
        <v>41</v>
      </c>
      <c r="D2093" t="s">
        <v>120</v>
      </c>
      <c r="E2093" t="s">
        <v>116</v>
      </c>
      <c r="F2093" t="s">
        <v>117</v>
      </c>
      <c r="H2093" t="s">
        <v>617</v>
      </c>
      <c r="I2093" t="str">
        <f>"101050002023981"</f>
        <v>101050002023981</v>
      </c>
      <c r="J2093" t="str">
        <f t="shared" si="403"/>
        <v>514568</v>
      </c>
      <c r="K2093" t="s">
        <v>87</v>
      </c>
      <c r="L2093">
        <v>49</v>
      </c>
      <c r="M2093">
        <v>49</v>
      </c>
      <c r="N2093">
        <v>0</v>
      </c>
      <c r="O2093" s="1">
        <v>45582.481828703705</v>
      </c>
      <c r="P2093" t="s">
        <v>119</v>
      </c>
    </row>
    <row r="2094" spans="1:16" x14ac:dyDescent="0.3">
      <c r="A2094" t="s">
        <v>25</v>
      </c>
      <c r="B2094" s="1">
        <v>45582.481828703705</v>
      </c>
      <c r="C2094" t="str">
        <f t="shared" si="404"/>
        <v>41</v>
      </c>
      <c r="D2094" t="s">
        <v>120</v>
      </c>
      <c r="E2094" t="s">
        <v>116</v>
      </c>
      <c r="F2094" t="s">
        <v>117</v>
      </c>
      <c r="H2094" t="s">
        <v>617</v>
      </c>
      <c r="I2094" t="str">
        <f>"101050002023979"</f>
        <v>101050002023979</v>
      </c>
      <c r="J2094" t="str">
        <f t="shared" si="403"/>
        <v>514568</v>
      </c>
      <c r="K2094" t="s">
        <v>87</v>
      </c>
      <c r="L2094">
        <v>49</v>
      </c>
      <c r="M2094">
        <v>49</v>
      </c>
      <c r="N2094">
        <v>0</v>
      </c>
      <c r="O2094" s="1">
        <v>45582.481828703705</v>
      </c>
      <c r="P2094" t="s">
        <v>119</v>
      </c>
    </row>
    <row r="2095" spans="1:16" x14ac:dyDescent="0.3">
      <c r="A2095" t="s">
        <v>25</v>
      </c>
      <c r="B2095" s="1">
        <v>45582.481828703705</v>
      </c>
      <c r="C2095" t="str">
        <f t="shared" si="404"/>
        <v>41</v>
      </c>
      <c r="D2095" t="s">
        <v>120</v>
      </c>
      <c r="E2095" t="s">
        <v>116</v>
      </c>
      <c r="F2095" t="s">
        <v>117</v>
      </c>
      <c r="H2095" t="s">
        <v>617</v>
      </c>
      <c r="I2095" t="str">
        <f>"101050002023980"</f>
        <v>101050002023980</v>
      </c>
      <c r="J2095" t="str">
        <f t="shared" si="403"/>
        <v>514568</v>
      </c>
      <c r="K2095" t="s">
        <v>87</v>
      </c>
      <c r="L2095">
        <v>49</v>
      </c>
      <c r="M2095">
        <v>49</v>
      </c>
      <c r="N2095">
        <v>0</v>
      </c>
      <c r="O2095" s="1">
        <v>45582.481828703705</v>
      </c>
      <c r="P2095" t="s">
        <v>119</v>
      </c>
    </row>
    <row r="2096" spans="1:16" x14ac:dyDescent="0.3">
      <c r="A2096" t="s">
        <v>25</v>
      </c>
      <c r="B2096" s="1">
        <v>45582.481828703705</v>
      </c>
      <c r="C2096" t="str">
        <f t="shared" si="404"/>
        <v>41</v>
      </c>
      <c r="D2096" t="s">
        <v>120</v>
      </c>
      <c r="E2096" t="s">
        <v>116</v>
      </c>
      <c r="F2096" t="s">
        <v>117</v>
      </c>
      <c r="H2096" t="s">
        <v>617</v>
      </c>
      <c r="I2096" t="str">
        <f>"101050002024571"</f>
        <v>101050002024571</v>
      </c>
      <c r="J2096" t="str">
        <f t="shared" si="403"/>
        <v>514568</v>
      </c>
      <c r="K2096" t="s">
        <v>87</v>
      </c>
      <c r="L2096">
        <v>49</v>
      </c>
      <c r="M2096">
        <v>49</v>
      </c>
      <c r="N2096">
        <v>0</v>
      </c>
      <c r="O2096" s="1">
        <v>45582.481828703705</v>
      </c>
      <c r="P2096" t="s">
        <v>119</v>
      </c>
    </row>
    <row r="2097" spans="1:16" x14ac:dyDescent="0.3">
      <c r="A2097" t="s">
        <v>25</v>
      </c>
      <c r="B2097" s="1">
        <v>45582.481828703705</v>
      </c>
      <c r="C2097" t="str">
        <f t="shared" si="404"/>
        <v>41</v>
      </c>
      <c r="D2097" t="s">
        <v>120</v>
      </c>
      <c r="E2097" t="s">
        <v>116</v>
      </c>
      <c r="F2097" t="s">
        <v>117</v>
      </c>
      <c r="H2097" t="s">
        <v>617</v>
      </c>
      <c r="I2097" t="str">
        <f>"101050001977410"</f>
        <v>101050001977410</v>
      </c>
      <c r="J2097" t="str">
        <f t="shared" si="403"/>
        <v>514568</v>
      </c>
      <c r="K2097" t="s">
        <v>87</v>
      </c>
      <c r="L2097">
        <v>49</v>
      </c>
      <c r="M2097">
        <v>49</v>
      </c>
      <c r="N2097">
        <v>0</v>
      </c>
      <c r="O2097" s="1">
        <v>45582.481828703705</v>
      </c>
      <c r="P2097" t="s">
        <v>119</v>
      </c>
    </row>
    <row r="2098" spans="1:16" x14ac:dyDescent="0.3">
      <c r="A2098" t="s">
        <v>25</v>
      </c>
      <c r="B2098" s="1">
        <v>45582.48159722222</v>
      </c>
      <c r="C2098" t="str">
        <f>"38"</f>
        <v>38</v>
      </c>
      <c r="D2098" t="s">
        <v>115</v>
      </c>
      <c r="E2098" t="s">
        <v>116</v>
      </c>
      <c r="F2098" t="s">
        <v>117</v>
      </c>
      <c r="H2098" t="s">
        <v>618</v>
      </c>
      <c r="L2098">
        <v>0</v>
      </c>
      <c r="M2098">
        <v>0</v>
      </c>
      <c r="N2098">
        <v>0</v>
      </c>
      <c r="O2098" s="1">
        <v>45582.48159722222</v>
      </c>
      <c r="P2098" t="s">
        <v>122</v>
      </c>
    </row>
    <row r="2099" spans="1:16" x14ac:dyDescent="0.3">
      <c r="A2099" t="s">
        <v>25</v>
      </c>
      <c r="B2099" s="1">
        <v>45582.48159722222</v>
      </c>
      <c r="C2099" t="str">
        <f t="shared" ref="C2099:C2105" si="405">"41"</f>
        <v>41</v>
      </c>
      <c r="D2099" t="s">
        <v>120</v>
      </c>
      <c r="E2099" t="s">
        <v>116</v>
      </c>
      <c r="F2099" t="s">
        <v>117</v>
      </c>
      <c r="H2099" t="s">
        <v>618</v>
      </c>
      <c r="I2099" t="str">
        <f>"101050002024213"</f>
        <v>101050002024213</v>
      </c>
      <c r="J2099" t="str">
        <f t="shared" ref="J2099:J2105" si="406">"127924"</f>
        <v>127924</v>
      </c>
      <c r="K2099" t="s">
        <v>3</v>
      </c>
      <c r="L2099">
        <v>49</v>
      </c>
      <c r="M2099">
        <v>49</v>
      </c>
      <c r="N2099">
        <v>0</v>
      </c>
      <c r="O2099" s="1">
        <v>45582.48159722222</v>
      </c>
      <c r="P2099" t="s">
        <v>122</v>
      </c>
    </row>
    <row r="2100" spans="1:16" x14ac:dyDescent="0.3">
      <c r="A2100" t="s">
        <v>25</v>
      </c>
      <c r="B2100" s="1">
        <v>45582.48159722222</v>
      </c>
      <c r="C2100" t="str">
        <f t="shared" si="405"/>
        <v>41</v>
      </c>
      <c r="D2100" t="s">
        <v>120</v>
      </c>
      <c r="E2100" t="s">
        <v>116</v>
      </c>
      <c r="F2100" t="s">
        <v>117</v>
      </c>
      <c r="H2100" t="s">
        <v>618</v>
      </c>
      <c r="I2100" t="str">
        <f>"101050002023881"</f>
        <v>101050002023881</v>
      </c>
      <c r="J2100" t="str">
        <f t="shared" si="406"/>
        <v>127924</v>
      </c>
      <c r="K2100" t="s">
        <v>3</v>
      </c>
      <c r="L2100">
        <v>49</v>
      </c>
      <c r="M2100">
        <v>49</v>
      </c>
      <c r="N2100">
        <v>0</v>
      </c>
      <c r="O2100" s="1">
        <v>45582.48159722222</v>
      </c>
      <c r="P2100" t="s">
        <v>122</v>
      </c>
    </row>
    <row r="2101" spans="1:16" x14ac:dyDescent="0.3">
      <c r="A2101" t="s">
        <v>25</v>
      </c>
      <c r="B2101" s="1">
        <v>45582.481585648151</v>
      </c>
      <c r="C2101" t="str">
        <f t="shared" si="405"/>
        <v>41</v>
      </c>
      <c r="D2101" t="s">
        <v>120</v>
      </c>
      <c r="E2101" t="s">
        <v>116</v>
      </c>
      <c r="F2101" t="s">
        <v>117</v>
      </c>
      <c r="H2101" t="s">
        <v>618</v>
      </c>
      <c r="I2101" t="str">
        <f>"101050002023898"</f>
        <v>101050002023898</v>
      </c>
      <c r="J2101" t="str">
        <f t="shared" si="406"/>
        <v>127924</v>
      </c>
      <c r="K2101" t="s">
        <v>3</v>
      </c>
      <c r="L2101">
        <v>49</v>
      </c>
      <c r="M2101">
        <v>49</v>
      </c>
      <c r="N2101">
        <v>0</v>
      </c>
      <c r="O2101" s="1">
        <v>45582.481585648151</v>
      </c>
      <c r="P2101" t="s">
        <v>122</v>
      </c>
    </row>
    <row r="2102" spans="1:16" x14ac:dyDescent="0.3">
      <c r="A2102" t="s">
        <v>25</v>
      </c>
      <c r="B2102" s="1">
        <v>45582.481585648151</v>
      </c>
      <c r="C2102" t="str">
        <f t="shared" si="405"/>
        <v>41</v>
      </c>
      <c r="D2102" t="s">
        <v>120</v>
      </c>
      <c r="E2102" t="s">
        <v>116</v>
      </c>
      <c r="F2102" t="s">
        <v>117</v>
      </c>
      <c r="H2102" t="s">
        <v>618</v>
      </c>
      <c r="I2102" t="str">
        <f>"101050002023716"</f>
        <v>101050002023716</v>
      </c>
      <c r="J2102" t="str">
        <f t="shared" si="406"/>
        <v>127924</v>
      </c>
      <c r="K2102" t="s">
        <v>3</v>
      </c>
      <c r="L2102">
        <v>49</v>
      </c>
      <c r="M2102">
        <v>49</v>
      </c>
      <c r="N2102">
        <v>0</v>
      </c>
      <c r="O2102" s="1">
        <v>45582.481585648151</v>
      </c>
      <c r="P2102" t="s">
        <v>122</v>
      </c>
    </row>
    <row r="2103" spans="1:16" x14ac:dyDescent="0.3">
      <c r="A2103" t="s">
        <v>25</v>
      </c>
      <c r="B2103" s="1">
        <v>45582.481585648151</v>
      </c>
      <c r="C2103" t="str">
        <f t="shared" si="405"/>
        <v>41</v>
      </c>
      <c r="D2103" t="s">
        <v>120</v>
      </c>
      <c r="E2103" t="s">
        <v>116</v>
      </c>
      <c r="F2103" t="s">
        <v>117</v>
      </c>
      <c r="H2103" t="s">
        <v>618</v>
      </c>
      <c r="I2103" t="str">
        <f>"101050002023245"</f>
        <v>101050002023245</v>
      </c>
      <c r="J2103" t="str">
        <f t="shared" si="406"/>
        <v>127924</v>
      </c>
      <c r="K2103" t="s">
        <v>3</v>
      </c>
      <c r="L2103">
        <v>49</v>
      </c>
      <c r="M2103">
        <v>49</v>
      </c>
      <c r="N2103">
        <v>0</v>
      </c>
      <c r="O2103" s="1">
        <v>45582.481585648151</v>
      </c>
      <c r="P2103" t="s">
        <v>122</v>
      </c>
    </row>
    <row r="2104" spans="1:16" x14ac:dyDescent="0.3">
      <c r="A2104" t="s">
        <v>25</v>
      </c>
      <c r="B2104" s="1">
        <v>45582.481585648151</v>
      </c>
      <c r="C2104" t="str">
        <f t="shared" si="405"/>
        <v>41</v>
      </c>
      <c r="D2104" t="s">
        <v>120</v>
      </c>
      <c r="E2104" t="s">
        <v>116</v>
      </c>
      <c r="F2104" t="s">
        <v>117</v>
      </c>
      <c r="H2104" t="s">
        <v>618</v>
      </c>
      <c r="I2104" t="str">
        <f>"101050002022983"</f>
        <v>101050002022983</v>
      </c>
      <c r="J2104" t="str">
        <f t="shared" si="406"/>
        <v>127924</v>
      </c>
      <c r="K2104" t="s">
        <v>3</v>
      </c>
      <c r="L2104">
        <v>49</v>
      </c>
      <c r="M2104">
        <v>49</v>
      </c>
      <c r="N2104">
        <v>0</v>
      </c>
      <c r="O2104" s="1">
        <v>45582.481585648151</v>
      </c>
      <c r="P2104" t="s">
        <v>122</v>
      </c>
    </row>
    <row r="2105" spans="1:16" x14ac:dyDescent="0.3">
      <c r="A2105" t="s">
        <v>25</v>
      </c>
      <c r="B2105" s="1">
        <v>45582.481585648151</v>
      </c>
      <c r="C2105" t="str">
        <f t="shared" si="405"/>
        <v>41</v>
      </c>
      <c r="D2105" t="s">
        <v>120</v>
      </c>
      <c r="E2105" t="s">
        <v>116</v>
      </c>
      <c r="F2105" t="s">
        <v>117</v>
      </c>
      <c r="H2105" t="s">
        <v>618</v>
      </c>
      <c r="I2105" t="str">
        <f>"101050002023148"</f>
        <v>101050002023148</v>
      </c>
      <c r="J2105" t="str">
        <f t="shared" si="406"/>
        <v>127924</v>
      </c>
      <c r="K2105" t="s">
        <v>3</v>
      </c>
      <c r="L2105">
        <v>49</v>
      </c>
      <c r="M2105">
        <v>49</v>
      </c>
      <c r="N2105">
        <v>0</v>
      </c>
      <c r="O2105" s="1">
        <v>45582.481585648151</v>
      </c>
      <c r="P2105" t="s">
        <v>122</v>
      </c>
    </row>
    <row r="2106" spans="1:16" x14ac:dyDescent="0.3">
      <c r="A2106" t="s">
        <v>25</v>
      </c>
      <c r="B2106" s="1">
        <v>45582.480636574073</v>
      </c>
      <c r="C2106" t="str">
        <f>"38"</f>
        <v>38</v>
      </c>
      <c r="D2106" t="s">
        <v>115</v>
      </c>
      <c r="E2106" t="s">
        <v>116</v>
      </c>
      <c r="F2106" t="s">
        <v>117</v>
      </c>
      <c r="H2106" t="s">
        <v>619</v>
      </c>
      <c r="L2106">
        <v>0</v>
      </c>
      <c r="M2106">
        <v>0</v>
      </c>
      <c r="N2106">
        <v>0</v>
      </c>
      <c r="O2106" s="1">
        <v>45582.480636574073</v>
      </c>
      <c r="P2106" t="s">
        <v>122</v>
      </c>
    </row>
    <row r="2107" spans="1:16" x14ac:dyDescent="0.3">
      <c r="A2107" t="s">
        <v>25</v>
      </c>
      <c r="B2107" s="1">
        <v>45582.480636574073</v>
      </c>
      <c r="C2107" t="str">
        <f>"41"</f>
        <v>41</v>
      </c>
      <c r="D2107" t="s">
        <v>120</v>
      </c>
      <c r="E2107" t="s">
        <v>116</v>
      </c>
      <c r="F2107" t="s">
        <v>117</v>
      </c>
      <c r="H2107" t="s">
        <v>619</v>
      </c>
      <c r="I2107" t="str">
        <f>"101050002024379"</f>
        <v>101050002024379</v>
      </c>
      <c r="J2107" t="str">
        <f>"127924"</f>
        <v>127924</v>
      </c>
      <c r="K2107" t="s">
        <v>3</v>
      </c>
      <c r="L2107">
        <v>49</v>
      </c>
      <c r="M2107">
        <v>49</v>
      </c>
      <c r="N2107">
        <v>0</v>
      </c>
      <c r="O2107" s="1">
        <v>45582.480636574073</v>
      </c>
      <c r="P2107" t="s">
        <v>122</v>
      </c>
    </row>
    <row r="2108" spans="1:16" x14ac:dyDescent="0.3">
      <c r="A2108" t="s">
        <v>25</v>
      </c>
      <c r="B2108" s="1">
        <v>45582.480624999997</v>
      </c>
      <c r="C2108" t="str">
        <f>"41"</f>
        <v>41</v>
      </c>
      <c r="D2108" t="s">
        <v>120</v>
      </c>
      <c r="E2108" t="s">
        <v>116</v>
      </c>
      <c r="F2108" t="s">
        <v>117</v>
      </c>
      <c r="H2108" t="s">
        <v>619</v>
      </c>
      <c r="I2108" t="str">
        <f>"101050002011595"</f>
        <v>101050002011595</v>
      </c>
      <c r="J2108" t="str">
        <f>"127924"</f>
        <v>127924</v>
      </c>
      <c r="K2108" t="s">
        <v>3</v>
      </c>
      <c r="L2108">
        <v>49</v>
      </c>
      <c r="M2108">
        <v>49</v>
      </c>
      <c r="N2108">
        <v>0</v>
      </c>
      <c r="O2108" s="1">
        <v>45582.480624999997</v>
      </c>
      <c r="P2108" t="s">
        <v>122</v>
      </c>
    </row>
    <row r="2109" spans="1:16" x14ac:dyDescent="0.3">
      <c r="A2109" t="s">
        <v>25</v>
      </c>
      <c r="B2109" s="1">
        <v>45582.480486111112</v>
      </c>
      <c r="C2109" t="str">
        <f>"38"</f>
        <v>38</v>
      </c>
      <c r="D2109" t="s">
        <v>115</v>
      </c>
      <c r="E2109" t="s">
        <v>116</v>
      </c>
      <c r="F2109" t="s">
        <v>117</v>
      </c>
      <c r="H2109" t="s">
        <v>612</v>
      </c>
      <c r="L2109">
        <v>0</v>
      </c>
      <c r="M2109">
        <v>0</v>
      </c>
      <c r="N2109">
        <v>0</v>
      </c>
      <c r="O2109" s="1">
        <v>45582.480486111112</v>
      </c>
      <c r="P2109" t="s">
        <v>125</v>
      </c>
    </row>
    <row r="2110" spans="1:16" x14ac:dyDescent="0.3">
      <c r="A2110" t="s">
        <v>25</v>
      </c>
      <c r="B2110" s="1">
        <v>45582.480486111112</v>
      </c>
      <c r="C2110" t="str">
        <f t="shared" ref="C2110:C2115" si="407">"41"</f>
        <v>41</v>
      </c>
      <c r="D2110" t="s">
        <v>120</v>
      </c>
      <c r="E2110" t="s">
        <v>116</v>
      </c>
      <c r="F2110" t="s">
        <v>117</v>
      </c>
      <c r="H2110" t="s">
        <v>612</v>
      </c>
      <c r="I2110" t="str">
        <f>"101050002006533"</f>
        <v>101050002006533</v>
      </c>
      <c r="J2110" t="str">
        <f t="shared" ref="J2110:J2115" si="408">"31090"</f>
        <v>31090</v>
      </c>
      <c r="K2110" t="s">
        <v>76</v>
      </c>
      <c r="L2110">
        <v>49</v>
      </c>
      <c r="M2110">
        <v>49</v>
      </c>
      <c r="N2110">
        <v>0</v>
      </c>
      <c r="O2110" s="1">
        <v>45582.480486111112</v>
      </c>
      <c r="P2110" t="s">
        <v>125</v>
      </c>
    </row>
    <row r="2111" spans="1:16" x14ac:dyDescent="0.3">
      <c r="A2111" t="s">
        <v>25</v>
      </c>
      <c r="B2111" s="1">
        <v>45582.480486111112</v>
      </c>
      <c r="C2111" t="str">
        <f t="shared" si="407"/>
        <v>41</v>
      </c>
      <c r="D2111" t="s">
        <v>120</v>
      </c>
      <c r="E2111" t="s">
        <v>116</v>
      </c>
      <c r="F2111" t="s">
        <v>117</v>
      </c>
      <c r="H2111" t="s">
        <v>612</v>
      </c>
      <c r="I2111" t="str">
        <f>"101050002006474"</f>
        <v>101050002006474</v>
      </c>
      <c r="J2111" t="str">
        <f t="shared" si="408"/>
        <v>31090</v>
      </c>
      <c r="K2111" t="s">
        <v>76</v>
      </c>
      <c r="L2111">
        <v>49</v>
      </c>
      <c r="M2111">
        <v>49</v>
      </c>
      <c r="N2111">
        <v>0</v>
      </c>
      <c r="O2111" s="1">
        <v>45582.480486111112</v>
      </c>
      <c r="P2111" t="s">
        <v>125</v>
      </c>
    </row>
    <row r="2112" spans="1:16" x14ac:dyDescent="0.3">
      <c r="A2112" t="s">
        <v>25</v>
      </c>
      <c r="B2112" s="1">
        <v>45582.480486111112</v>
      </c>
      <c r="C2112" t="str">
        <f t="shared" si="407"/>
        <v>41</v>
      </c>
      <c r="D2112" t="s">
        <v>120</v>
      </c>
      <c r="E2112" t="s">
        <v>116</v>
      </c>
      <c r="F2112" t="s">
        <v>117</v>
      </c>
      <c r="H2112" t="s">
        <v>612</v>
      </c>
      <c r="I2112" t="str">
        <f>"101050002006516"</f>
        <v>101050002006516</v>
      </c>
      <c r="J2112" t="str">
        <f t="shared" si="408"/>
        <v>31090</v>
      </c>
      <c r="K2112" t="s">
        <v>76</v>
      </c>
      <c r="L2112">
        <v>49</v>
      </c>
      <c r="M2112">
        <v>49</v>
      </c>
      <c r="N2112">
        <v>0</v>
      </c>
      <c r="O2112" s="1">
        <v>45582.480486111112</v>
      </c>
      <c r="P2112" t="s">
        <v>125</v>
      </c>
    </row>
    <row r="2113" spans="1:16" x14ac:dyDescent="0.3">
      <c r="A2113" t="s">
        <v>25</v>
      </c>
      <c r="B2113" s="1">
        <v>45582.480474537035</v>
      </c>
      <c r="C2113" t="str">
        <f t="shared" si="407"/>
        <v>41</v>
      </c>
      <c r="D2113" t="s">
        <v>120</v>
      </c>
      <c r="E2113" t="s">
        <v>116</v>
      </c>
      <c r="F2113" t="s">
        <v>117</v>
      </c>
      <c r="H2113" t="s">
        <v>612</v>
      </c>
      <c r="I2113" t="str">
        <f>"101050002006521"</f>
        <v>101050002006521</v>
      </c>
      <c r="J2113" t="str">
        <f t="shared" si="408"/>
        <v>31090</v>
      </c>
      <c r="K2113" t="s">
        <v>76</v>
      </c>
      <c r="L2113">
        <v>49</v>
      </c>
      <c r="M2113">
        <v>49</v>
      </c>
      <c r="N2113">
        <v>0</v>
      </c>
      <c r="O2113" s="1">
        <v>45582.480474537035</v>
      </c>
      <c r="P2113" t="s">
        <v>125</v>
      </c>
    </row>
    <row r="2114" spans="1:16" x14ac:dyDescent="0.3">
      <c r="A2114" t="s">
        <v>25</v>
      </c>
      <c r="B2114" s="1">
        <v>45582.480474537035</v>
      </c>
      <c r="C2114" t="str">
        <f t="shared" si="407"/>
        <v>41</v>
      </c>
      <c r="D2114" t="s">
        <v>120</v>
      </c>
      <c r="E2114" t="s">
        <v>116</v>
      </c>
      <c r="F2114" t="s">
        <v>117</v>
      </c>
      <c r="H2114" t="s">
        <v>612</v>
      </c>
      <c r="I2114" t="str">
        <f>"101050002006691"</f>
        <v>101050002006691</v>
      </c>
      <c r="J2114" t="str">
        <f t="shared" si="408"/>
        <v>31090</v>
      </c>
      <c r="K2114" t="s">
        <v>76</v>
      </c>
      <c r="L2114">
        <v>49</v>
      </c>
      <c r="M2114">
        <v>49</v>
      </c>
      <c r="N2114">
        <v>0</v>
      </c>
      <c r="O2114" s="1">
        <v>45582.480474537035</v>
      </c>
      <c r="P2114" t="s">
        <v>125</v>
      </c>
    </row>
    <row r="2115" spans="1:16" x14ac:dyDescent="0.3">
      <c r="A2115" t="s">
        <v>25</v>
      </c>
      <c r="B2115" s="1">
        <v>45582.480474537035</v>
      </c>
      <c r="C2115" t="str">
        <f t="shared" si="407"/>
        <v>41</v>
      </c>
      <c r="D2115" t="s">
        <v>120</v>
      </c>
      <c r="E2115" t="s">
        <v>116</v>
      </c>
      <c r="F2115" t="s">
        <v>117</v>
      </c>
      <c r="H2115" t="s">
        <v>612</v>
      </c>
      <c r="I2115" t="str">
        <f>"101050002006690"</f>
        <v>101050002006690</v>
      </c>
      <c r="J2115" t="str">
        <f t="shared" si="408"/>
        <v>31090</v>
      </c>
      <c r="K2115" t="s">
        <v>76</v>
      </c>
      <c r="L2115">
        <v>49</v>
      </c>
      <c r="M2115">
        <v>49</v>
      </c>
      <c r="N2115">
        <v>0</v>
      </c>
      <c r="O2115" s="1">
        <v>45582.480474537035</v>
      </c>
      <c r="P2115" t="s">
        <v>125</v>
      </c>
    </row>
    <row r="2116" spans="1:16" x14ac:dyDescent="0.3">
      <c r="A2116" t="s">
        <v>25</v>
      </c>
      <c r="B2116" s="1">
        <v>45582.479479166665</v>
      </c>
      <c r="C2116" t="str">
        <f>"38"</f>
        <v>38</v>
      </c>
      <c r="D2116" t="s">
        <v>115</v>
      </c>
      <c r="E2116" t="s">
        <v>116</v>
      </c>
      <c r="F2116" t="s">
        <v>117</v>
      </c>
      <c r="H2116" t="s">
        <v>614</v>
      </c>
      <c r="L2116">
        <v>0</v>
      </c>
      <c r="M2116">
        <v>0</v>
      </c>
      <c r="N2116">
        <v>0</v>
      </c>
      <c r="O2116" s="1">
        <v>45582.479479166665</v>
      </c>
      <c r="P2116" t="s">
        <v>125</v>
      </c>
    </row>
    <row r="2117" spans="1:16" x14ac:dyDescent="0.3">
      <c r="A2117" t="s">
        <v>25</v>
      </c>
      <c r="B2117" s="1">
        <v>45582.479479166665</v>
      </c>
      <c r="C2117" t="str">
        <f>"41"</f>
        <v>41</v>
      </c>
      <c r="D2117" t="s">
        <v>120</v>
      </c>
      <c r="E2117" t="s">
        <v>116</v>
      </c>
      <c r="F2117" t="s">
        <v>117</v>
      </c>
      <c r="H2117" t="s">
        <v>614</v>
      </c>
      <c r="I2117" t="str">
        <f>"101050002006036"</f>
        <v>101050002006036</v>
      </c>
      <c r="J2117" t="str">
        <f>"514496"</f>
        <v>514496</v>
      </c>
      <c r="K2117" t="s">
        <v>12</v>
      </c>
      <c r="L2117">
        <v>49</v>
      </c>
      <c r="M2117">
        <v>49</v>
      </c>
      <c r="N2117">
        <v>0</v>
      </c>
      <c r="O2117" s="1">
        <v>45582.479479166665</v>
      </c>
      <c r="P2117" t="s">
        <v>125</v>
      </c>
    </row>
    <row r="2118" spans="1:16" x14ac:dyDescent="0.3">
      <c r="A2118" t="s">
        <v>25</v>
      </c>
      <c r="B2118" s="1">
        <v>45582.478622685187</v>
      </c>
      <c r="C2118" t="str">
        <f>"38"</f>
        <v>38</v>
      </c>
      <c r="D2118" t="s">
        <v>115</v>
      </c>
      <c r="E2118" t="s">
        <v>116</v>
      </c>
      <c r="F2118" t="s">
        <v>117</v>
      </c>
      <c r="H2118" t="s">
        <v>620</v>
      </c>
      <c r="L2118">
        <v>0</v>
      </c>
      <c r="M2118">
        <v>0</v>
      </c>
      <c r="N2118">
        <v>0</v>
      </c>
      <c r="O2118" s="1">
        <v>45582.478622685187</v>
      </c>
      <c r="P2118" t="s">
        <v>119</v>
      </c>
    </row>
    <row r="2119" spans="1:16" x14ac:dyDescent="0.3">
      <c r="A2119" t="s">
        <v>25</v>
      </c>
      <c r="B2119" s="1">
        <v>45582.478622685187</v>
      </c>
      <c r="C2119" t="str">
        <f t="shared" ref="C2119:C2124" si="409">"41"</f>
        <v>41</v>
      </c>
      <c r="D2119" t="s">
        <v>120</v>
      </c>
      <c r="E2119" t="s">
        <v>116</v>
      </c>
      <c r="F2119" t="s">
        <v>117</v>
      </c>
      <c r="H2119" t="s">
        <v>620</v>
      </c>
      <c r="I2119" t="str">
        <f>"101050002023350"</f>
        <v>101050002023350</v>
      </c>
      <c r="J2119" t="str">
        <f t="shared" ref="J2119:J2124" si="410">"126481"</f>
        <v>126481</v>
      </c>
      <c r="K2119" t="s">
        <v>47</v>
      </c>
      <c r="L2119">
        <v>49</v>
      </c>
      <c r="M2119">
        <v>49</v>
      </c>
      <c r="N2119">
        <v>0</v>
      </c>
      <c r="O2119" s="1">
        <v>45582.478622685187</v>
      </c>
      <c r="P2119" t="s">
        <v>119</v>
      </c>
    </row>
    <row r="2120" spans="1:16" x14ac:dyDescent="0.3">
      <c r="A2120" t="s">
        <v>25</v>
      </c>
      <c r="B2120" s="1">
        <v>45582.47861111111</v>
      </c>
      <c r="C2120" t="str">
        <f t="shared" si="409"/>
        <v>41</v>
      </c>
      <c r="D2120" t="s">
        <v>120</v>
      </c>
      <c r="E2120" t="s">
        <v>116</v>
      </c>
      <c r="F2120" t="s">
        <v>117</v>
      </c>
      <c r="H2120" t="s">
        <v>620</v>
      </c>
      <c r="I2120" t="str">
        <f>"101050002023697"</f>
        <v>101050002023697</v>
      </c>
      <c r="J2120" t="str">
        <f t="shared" si="410"/>
        <v>126481</v>
      </c>
      <c r="K2120" t="s">
        <v>47</v>
      </c>
      <c r="L2120">
        <v>49</v>
      </c>
      <c r="M2120">
        <v>49</v>
      </c>
      <c r="N2120">
        <v>0</v>
      </c>
      <c r="O2120" s="1">
        <v>45582.47861111111</v>
      </c>
      <c r="P2120" t="s">
        <v>119</v>
      </c>
    </row>
    <row r="2121" spans="1:16" x14ac:dyDescent="0.3">
      <c r="A2121" t="s">
        <v>25</v>
      </c>
      <c r="B2121" s="1">
        <v>45582.47861111111</v>
      </c>
      <c r="C2121" t="str">
        <f t="shared" si="409"/>
        <v>41</v>
      </c>
      <c r="D2121" t="s">
        <v>120</v>
      </c>
      <c r="E2121" t="s">
        <v>116</v>
      </c>
      <c r="F2121" t="s">
        <v>117</v>
      </c>
      <c r="H2121" t="s">
        <v>620</v>
      </c>
      <c r="I2121" t="str">
        <f>"101050002023645"</f>
        <v>101050002023645</v>
      </c>
      <c r="J2121" t="str">
        <f t="shared" si="410"/>
        <v>126481</v>
      </c>
      <c r="K2121" t="s">
        <v>47</v>
      </c>
      <c r="L2121">
        <v>49</v>
      </c>
      <c r="M2121">
        <v>49</v>
      </c>
      <c r="N2121">
        <v>0</v>
      </c>
      <c r="O2121" s="1">
        <v>45582.47861111111</v>
      </c>
      <c r="P2121" t="s">
        <v>119</v>
      </c>
    </row>
    <row r="2122" spans="1:16" x14ac:dyDescent="0.3">
      <c r="A2122" t="s">
        <v>25</v>
      </c>
      <c r="B2122" s="1">
        <v>45582.47861111111</v>
      </c>
      <c r="C2122" t="str">
        <f t="shared" si="409"/>
        <v>41</v>
      </c>
      <c r="D2122" t="s">
        <v>120</v>
      </c>
      <c r="E2122" t="s">
        <v>116</v>
      </c>
      <c r="F2122" t="s">
        <v>117</v>
      </c>
      <c r="H2122" t="s">
        <v>620</v>
      </c>
      <c r="I2122" t="str">
        <f>"101050002023696"</f>
        <v>101050002023696</v>
      </c>
      <c r="J2122" t="str">
        <f t="shared" si="410"/>
        <v>126481</v>
      </c>
      <c r="K2122" t="s">
        <v>47</v>
      </c>
      <c r="L2122">
        <v>49</v>
      </c>
      <c r="M2122">
        <v>49</v>
      </c>
      <c r="N2122">
        <v>0</v>
      </c>
      <c r="O2122" s="1">
        <v>45582.47861111111</v>
      </c>
      <c r="P2122" t="s">
        <v>119</v>
      </c>
    </row>
    <row r="2123" spans="1:16" x14ac:dyDescent="0.3">
      <c r="A2123" t="s">
        <v>25</v>
      </c>
      <c r="B2123" s="1">
        <v>45582.47861111111</v>
      </c>
      <c r="C2123" t="str">
        <f t="shared" si="409"/>
        <v>41</v>
      </c>
      <c r="D2123" t="s">
        <v>120</v>
      </c>
      <c r="E2123" t="s">
        <v>116</v>
      </c>
      <c r="F2123" t="s">
        <v>117</v>
      </c>
      <c r="H2123" t="s">
        <v>620</v>
      </c>
      <c r="I2123" t="str">
        <f>"101050002023646"</f>
        <v>101050002023646</v>
      </c>
      <c r="J2123" t="str">
        <f t="shared" si="410"/>
        <v>126481</v>
      </c>
      <c r="K2123" t="s">
        <v>47</v>
      </c>
      <c r="L2123">
        <v>49</v>
      </c>
      <c r="M2123">
        <v>49</v>
      </c>
      <c r="N2123">
        <v>0</v>
      </c>
      <c r="O2123" s="1">
        <v>45582.47861111111</v>
      </c>
      <c r="P2123" t="s">
        <v>119</v>
      </c>
    </row>
    <row r="2124" spans="1:16" x14ac:dyDescent="0.3">
      <c r="A2124" t="s">
        <v>25</v>
      </c>
      <c r="B2124" s="1">
        <v>45582.47861111111</v>
      </c>
      <c r="C2124" t="str">
        <f t="shared" si="409"/>
        <v>41</v>
      </c>
      <c r="D2124" t="s">
        <v>120</v>
      </c>
      <c r="E2124" t="s">
        <v>116</v>
      </c>
      <c r="F2124" t="s">
        <v>117</v>
      </c>
      <c r="H2124" t="s">
        <v>620</v>
      </c>
      <c r="I2124" t="str">
        <f>"101050002023647"</f>
        <v>101050002023647</v>
      </c>
      <c r="J2124" t="str">
        <f t="shared" si="410"/>
        <v>126481</v>
      </c>
      <c r="K2124" t="s">
        <v>47</v>
      </c>
      <c r="L2124">
        <v>49</v>
      </c>
      <c r="M2124">
        <v>49</v>
      </c>
      <c r="N2124">
        <v>0</v>
      </c>
      <c r="O2124" s="1">
        <v>45582.47861111111</v>
      </c>
      <c r="P2124" t="s">
        <v>119</v>
      </c>
    </row>
    <row r="2125" spans="1:16" x14ac:dyDescent="0.3">
      <c r="A2125" t="s">
        <v>25</v>
      </c>
      <c r="B2125" s="1">
        <v>45582.477407407408</v>
      </c>
      <c r="C2125" t="str">
        <f>"38"</f>
        <v>38</v>
      </c>
      <c r="D2125" t="s">
        <v>115</v>
      </c>
      <c r="E2125" t="s">
        <v>116</v>
      </c>
      <c r="F2125" t="s">
        <v>117</v>
      </c>
      <c r="H2125" t="s">
        <v>621</v>
      </c>
      <c r="L2125">
        <v>0</v>
      </c>
      <c r="M2125">
        <v>0</v>
      </c>
      <c r="N2125">
        <v>0</v>
      </c>
      <c r="O2125" s="1">
        <v>45582.477407407408</v>
      </c>
      <c r="P2125" t="s">
        <v>125</v>
      </c>
    </row>
    <row r="2126" spans="1:16" x14ac:dyDescent="0.3">
      <c r="A2126" t="s">
        <v>25</v>
      </c>
      <c r="B2126" s="1">
        <v>45582.477407407408</v>
      </c>
      <c r="C2126" t="str">
        <f>"41"</f>
        <v>41</v>
      </c>
      <c r="D2126" t="s">
        <v>120</v>
      </c>
      <c r="E2126" t="s">
        <v>116</v>
      </c>
      <c r="F2126" t="s">
        <v>117</v>
      </c>
      <c r="H2126" t="s">
        <v>621</v>
      </c>
      <c r="I2126" t="str">
        <f>"101050002001491"</f>
        <v>101050002001491</v>
      </c>
      <c r="J2126" t="str">
        <f>"514846"</f>
        <v>514846</v>
      </c>
      <c r="K2126" t="s">
        <v>18</v>
      </c>
      <c r="L2126">
        <v>49</v>
      </c>
      <c r="M2126">
        <v>49</v>
      </c>
      <c r="N2126">
        <v>0</v>
      </c>
      <c r="O2126" s="1">
        <v>45582.477407407408</v>
      </c>
      <c r="P2126" t="s">
        <v>125</v>
      </c>
    </row>
    <row r="2127" spans="1:16" x14ac:dyDescent="0.3">
      <c r="A2127" t="s">
        <v>25</v>
      </c>
      <c r="B2127" s="1">
        <v>45582.477407407408</v>
      </c>
      <c r="C2127" t="str">
        <f>"41"</f>
        <v>41</v>
      </c>
      <c r="D2127" t="s">
        <v>120</v>
      </c>
      <c r="E2127" t="s">
        <v>116</v>
      </c>
      <c r="F2127" t="s">
        <v>117</v>
      </c>
      <c r="H2127" t="s">
        <v>621</v>
      </c>
      <c r="I2127" t="str">
        <f>"101050002001262"</f>
        <v>101050002001262</v>
      </c>
      <c r="J2127" t="str">
        <f>"514846"</f>
        <v>514846</v>
      </c>
      <c r="K2127" t="s">
        <v>18</v>
      </c>
      <c r="L2127">
        <v>49</v>
      </c>
      <c r="M2127">
        <v>49</v>
      </c>
      <c r="N2127">
        <v>0</v>
      </c>
      <c r="O2127" s="1">
        <v>45582.477407407408</v>
      </c>
      <c r="P2127" t="s">
        <v>125</v>
      </c>
    </row>
    <row r="2128" spans="1:16" x14ac:dyDescent="0.3">
      <c r="A2128" t="s">
        <v>25</v>
      </c>
      <c r="B2128" s="1">
        <v>45582.477407407408</v>
      </c>
      <c r="C2128" t="str">
        <f>"41"</f>
        <v>41</v>
      </c>
      <c r="D2128" t="s">
        <v>120</v>
      </c>
      <c r="E2128" t="s">
        <v>116</v>
      </c>
      <c r="F2128" t="s">
        <v>117</v>
      </c>
      <c r="H2128" t="s">
        <v>621</v>
      </c>
      <c r="I2128" t="str">
        <f>"101050002000890"</f>
        <v>101050002000890</v>
      </c>
      <c r="J2128" t="str">
        <f>"514846"</f>
        <v>514846</v>
      </c>
      <c r="K2128" t="s">
        <v>18</v>
      </c>
      <c r="L2128">
        <v>49</v>
      </c>
      <c r="M2128">
        <v>49</v>
      </c>
      <c r="N2128">
        <v>0</v>
      </c>
      <c r="O2128" s="1">
        <v>45582.477407407408</v>
      </c>
      <c r="P2128" t="s">
        <v>125</v>
      </c>
    </row>
    <row r="2129" spans="1:16" x14ac:dyDescent="0.3">
      <c r="A2129" t="s">
        <v>25</v>
      </c>
      <c r="B2129" s="1">
        <v>45582.477407407408</v>
      </c>
      <c r="C2129" t="str">
        <f>"41"</f>
        <v>41</v>
      </c>
      <c r="D2129" t="s">
        <v>120</v>
      </c>
      <c r="E2129" t="s">
        <v>116</v>
      </c>
      <c r="F2129" t="s">
        <v>117</v>
      </c>
      <c r="H2129" t="s">
        <v>621</v>
      </c>
      <c r="I2129" t="str">
        <f>"101050002000797"</f>
        <v>101050002000797</v>
      </c>
      <c r="J2129" t="str">
        <f>"514846"</f>
        <v>514846</v>
      </c>
      <c r="K2129" t="s">
        <v>18</v>
      </c>
      <c r="L2129">
        <v>49</v>
      </c>
      <c r="M2129">
        <v>49</v>
      </c>
      <c r="N2129">
        <v>0</v>
      </c>
      <c r="O2129" s="1">
        <v>45582.477407407408</v>
      </c>
      <c r="P2129" t="s">
        <v>125</v>
      </c>
    </row>
    <row r="2130" spans="1:16" x14ac:dyDescent="0.3">
      <c r="A2130" t="s">
        <v>25</v>
      </c>
      <c r="B2130" s="1">
        <v>45582.477395833332</v>
      </c>
      <c r="C2130" t="str">
        <f>"41"</f>
        <v>41</v>
      </c>
      <c r="D2130" t="s">
        <v>120</v>
      </c>
      <c r="E2130" t="s">
        <v>116</v>
      </c>
      <c r="F2130" t="s">
        <v>117</v>
      </c>
      <c r="H2130" t="s">
        <v>621</v>
      </c>
      <c r="I2130" t="str">
        <f>"101050002001138"</f>
        <v>101050002001138</v>
      </c>
      <c r="J2130" t="str">
        <f>"514846"</f>
        <v>514846</v>
      </c>
      <c r="K2130" t="s">
        <v>18</v>
      </c>
      <c r="L2130">
        <v>49</v>
      </c>
      <c r="M2130">
        <v>49</v>
      </c>
      <c r="N2130">
        <v>0</v>
      </c>
      <c r="O2130" s="1">
        <v>45582.477395833332</v>
      </c>
      <c r="P2130" t="s">
        <v>125</v>
      </c>
    </row>
    <row r="2131" spans="1:16" x14ac:dyDescent="0.3">
      <c r="A2131" t="s">
        <v>25</v>
      </c>
      <c r="B2131" s="1">
        <v>45582.477766203701</v>
      </c>
      <c r="C2131" t="str">
        <f>"38"</f>
        <v>38</v>
      </c>
      <c r="D2131" t="s">
        <v>115</v>
      </c>
      <c r="E2131" t="s">
        <v>116</v>
      </c>
      <c r="F2131" t="s">
        <v>117</v>
      </c>
      <c r="H2131" t="s">
        <v>616</v>
      </c>
      <c r="L2131">
        <v>0</v>
      </c>
      <c r="M2131">
        <v>0</v>
      </c>
      <c r="N2131">
        <v>0</v>
      </c>
      <c r="O2131" s="1">
        <v>45582.477766203701</v>
      </c>
      <c r="P2131" t="s">
        <v>122</v>
      </c>
    </row>
    <row r="2132" spans="1:16" x14ac:dyDescent="0.3">
      <c r="A2132" t="s">
        <v>25</v>
      </c>
      <c r="B2132" s="1">
        <v>45582.477511574078</v>
      </c>
      <c r="C2132" t="str">
        <f>"38"</f>
        <v>38</v>
      </c>
      <c r="D2132" t="s">
        <v>115</v>
      </c>
      <c r="E2132" t="s">
        <v>116</v>
      </c>
      <c r="F2132" t="s">
        <v>117</v>
      </c>
      <c r="H2132" t="s">
        <v>622</v>
      </c>
      <c r="L2132">
        <v>0</v>
      </c>
      <c r="M2132">
        <v>0</v>
      </c>
      <c r="N2132">
        <v>0</v>
      </c>
      <c r="O2132" s="1">
        <v>45582.477511574078</v>
      </c>
      <c r="P2132" t="s">
        <v>122</v>
      </c>
    </row>
    <row r="2133" spans="1:16" x14ac:dyDescent="0.3">
      <c r="A2133" t="s">
        <v>25</v>
      </c>
      <c r="B2133" s="1">
        <v>45582.477511574078</v>
      </c>
      <c r="C2133" t="str">
        <f>"41"</f>
        <v>41</v>
      </c>
      <c r="D2133" t="s">
        <v>120</v>
      </c>
      <c r="E2133" t="s">
        <v>116</v>
      </c>
      <c r="F2133" t="s">
        <v>117</v>
      </c>
      <c r="H2133" t="s">
        <v>622</v>
      </c>
      <c r="I2133" t="str">
        <f>"101050002025152"</f>
        <v>101050002025152</v>
      </c>
      <c r="J2133" t="str">
        <f>"128376"</f>
        <v>128376</v>
      </c>
      <c r="K2133" t="s">
        <v>67</v>
      </c>
      <c r="L2133">
        <v>49</v>
      </c>
      <c r="M2133">
        <v>49</v>
      </c>
      <c r="N2133">
        <v>0</v>
      </c>
      <c r="O2133" s="1">
        <v>45582.477511574078</v>
      </c>
      <c r="P2133" t="s">
        <v>122</v>
      </c>
    </row>
    <row r="2134" spans="1:16" x14ac:dyDescent="0.3">
      <c r="A2134" t="s">
        <v>25</v>
      </c>
      <c r="B2134" s="1">
        <v>45582.477511574078</v>
      </c>
      <c r="C2134" t="str">
        <f>"41"</f>
        <v>41</v>
      </c>
      <c r="D2134" t="s">
        <v>120</v>
      </c>
      <c r="E2134" t="s">
        <v>116</v>
      </c>
      <c r="F2134" t="s">
        <v>117</v>
      </c>
      <c r="H2134" t="s">
        <v>622</v>
      </c>
      <c r="I2134" t="str">
        <f>"101050002025228"</f>
        <v>101050002025228</v>
      </c>
      <c r="J2134" t="str">
        <f>"128376"</f>
        <v>128376</v>
      </c>
      <c r="K2134" t="s">
        <v>67</v>
      </c>
      <c r="L2134">
        <v>49</v>
      </c>
      <c r="M2134">
        <v>49</v>
      </c>
      <c r="N2134">
        <v>0</v>
      </c>
      <c r="O2134" s="1">
        <v>45582.477511574078</v>
      </c>
      <c r="P2134" t="s">
        <v>122</v>
      </c>
    </row>
    <row r="2135" spans="1:16" x14ac:dyDescent="0.3">
      <c r="A2135" t="s">
        <v>25</v>
      </c>
      <c r="B2135" s="1">
        <v>45582.477395833332</v>
      </c>
      <c r="C2135" t="str">
        <f>"41"</f>
        <v>41</v>
      </c>
      <c r="D2135" t="s">
        <v>120</v>
      </c>
      <c r="E2135" t="s">
        <v>116</v>
      </c>
      <c r="F2135" t="s">
        <v>117</v>
      </c>
      <c r="H2135" t="s">
        <v>621</v>
      </c>
      <c r="I2135" t="str">
        <f>"101050002000444"</f>
        <v>101050002000444</v>
      </c>
      <c r="J2135" t="str">
        <f>"514846"</f>
        <v>514846</v>
      </c>
      <c r="K2135" t="s">
        <v>18</v>
      </c>
      <c r="L2135">
        <v>49</v>
      </c>
      <c r="M2135">
        <v>49</v>
      </c>
      <c r="N2135">
        <v>0</v>
      </c>
      <c r="O2135" s="1">
        <v>45582.477395833332</v>
      </c>
      <c r="P2135" t="s">
        <v>125</v>
      </c>
    </row>
    <row r="2136" spans="1:16" x14ac:dyDescent="0.3">
      <c r="A2136" t="s">
        <v>25</v>
      </c>
      <c r="B2136" s="1">
        <v>45582.477395833332</v>
      </c>
      <c r="C2136" t="str">
        <f>"41"</f>
        <v>41</v>
      </c>
      <c r="D2136" t="s">
        <v>120</v>
      </c>
      <c r="E2136" t="s">
        <v>116</v>
      </c>
      <c r="F2136" t="s">
        <v>117</v>
      </c>
      <c r="H2136" t="s">
        <v>621</v>
      </c>
      <c r="I2136" t="str">
        <f>"101050002000796"</f>
        <v>101050002000796</v>
      </c>
      <c r="J2136" t="str">
        <f>"514846"</f>
        <v>514846</v>
      </c>
      <c r="K2136" t="s">
        <v>18</v>
      </c>
      <c r="L2136">
        <v>49</v>
      </c>
      <c r="M2136">
        <v>49</v>
      </c>
      <c r="N2136">
        <v>0</v>
      </c>
      <c r="O2136" s="1">
        <v>45582.477395833332</v>
      </c>
      <c r="P2136" t="s">
        <v>125</v>
      </c>
    </row>
    <row r="2137" spans="1:16" x14ac:dyDescent="0.3">
      <c r="A2137" t="s">
        <v>25</v>
      </c>
      <c r="B2137" s="1">
        <v>45582.477337962962</v>
      </c>
      <c r="C2137" t="str">
        <f>"38"</f>
        <v>38</v>
      </c>
      <c r="D2137" t="s">
        <v>115</v>
      </c>
      <c r="E2137" t="s">
        <v>116</v>
      </c>
      <c r="F2137" t="s">
        <v>117</v>
      </c>
      <c r="H2137" t="s">
        <v>623</v>
      </c>
      <c r="L2137">
        <v>0</v>
      </c>
      <c r="M2137">
        <v>0</v>
      </c>
      <c r="N2137">
        <v>0</v>
      </c>
      <c r="O2137" s="1">
        <v>45582.477337962962</v>
      </c>
      <c r="P2137" t="s">
        <v>119</v>
      </c>
    </row>
    <row r="2138" spans="1:16" x14ac:dyDescent="0.3">
      <c r="A2138" t="s">
        <v>25</v>
      </c>
      <c r="B2138" s="1">
        <v>45582.477337962962</v>
      </c>
      <c r="C2138" t="str">
        <f t="shared" ref="C2138:C2144" si="411">"41"</f>
        <v>41</v>
      </c>
      <c r="D2138" t="s">
        <v>120</v>
      </c>
      <c r="E2138" t="s">
        <v>116</v>
      </c>
      <c r="F2138" t="s">
        <v>117</v>
      </c>
      <c r="H2138" t="s">
        <v>623</v>
      </c>
      <c r="I2138" t="str">
        <f>"101050002023352"</f>
        <v>101050002023352</v>
      </c>
      <c r="J2138" t="str">
        <f t="shared" ref="J2138:J2144" si="412">"126481"</f>
        <v>126481</v>
      </c>
      <c r="K2138" t="s">
        <v>47</v>
      </c>
      <c r="L2138">
        <v>49</v>
      </c>
      <c r="M2138">
        <v>49</v>
      </c>
      <c r="N2138">
        <v>0</v>
      </c>
      <c r="O2138" s="1">
        <v>45582.477337962962</v>
      </c>
      <c r="P2138" t="s">
        <v>119</v>
      </c>
    </row>
    <row r="2139" spans="1:16" x14ac:dyDescent="0.3">
      <c r="A2139" t="s">
        <v>25</v>
      </c>
      <c r="B2139" s="1">
        <v>45582.477337962962</v>
      </c>
      <c r="C2139" t="str">
        <f t="shared" si="411"/>
        <v>41</v>
      </c>
      <c r="D2139" t="s">
        <v>120</v>
      </c>
      <c r="E2139" t="s">
        <v>116</v>
      </c>
      <c r="F2139" t="s">
        <v>117</v>
      </c>
      <c r="H2139" t="s">
        <v>623</v>
      </c>
      <c r="I2139" t="str">
        <f>"101050002023265"</f>
        <v>101050002023265</v>
      </c>
      <c r="J2139" t="str">
        <f t="shared" si="412"/>
        <v>126481</v>
      </c>
      <c r="K2139" t="s">
        <v>47</v>
      </c>
      <c r="L2139">
        <v>49</v>
      </c>
      <c r="M2139">
        <v>49</v>
      </c>
      <c r="N2139">
        <v>0</v>
      </c>
      <c r="O2139" s="1">
        <v>45582.477337962962</v>
      </c>
      <c r="P2139" t="s">
        <v>119</v>
      </c>
    </row>
    <row r="2140" spans="1:16" x14ac:dyDescent="0.3">
      <c r="A2140" t="s">
        <v>25</v>
      </c>
      <c r="B2140" s="1">
        <v>45582.477337962962</v>
      </c>
      <c r="C2140" t="str">
        <f t="shared" si="411"/>
        <v>41</v>
      </c>
      <c r="D2140" t="s">
        <v>120</v>
      </c>
      <c r="E2140" t="s">
        <v>116</v>
      </c>
      <c r="F2140" t="s">
        <v>117</v>
      </c>
      <c r="H2140" t="s">
        <v>623</v>
      </c>
      <c r="I2140" t="str">
        <f>"101050002023264"</f>
        <v>101050002023264</v>
      </c>
      <c r="J2140" t="str">
        <f t="shared" si="412"/>
        <v>126481</v>
      </c>
      <c r="K2140" t="s">
        <v>47</v>
      </c>
      <c r="L2140">
        <v>49</v>
      </c>
      <c r="M2140">
        <v>49</v>
      </c>
      <c r="N2140">
        <v>0</v>
      </c>
      <c r="O2140" s="1">
        <v>45582.477337962962</v>
      </c>
      <c r="P2140" t="s">
        <v>119</v>
      </c>
    </row>
    <row r="2141" spans="1:16" x14ac:dyDescent="0.3">
      <c r="A2141" t="s">
        <v>25</v>
      </c>
      <c r="B2141" s="1">
        <v>45582.477337962962</v>
      </c>
      <c r="C2141" t="str">
        <f t="shared" si="411"/>
        <v>41</v>
      </c>
      <c r="D2141" t="s">
        <v>120</v>
      </c>
      <c r="E2141" t="s">
        <v>116</v>
      </c>
      <c r="F2141" t="s">
        <v>117</v>
      </c>
      <c r="H2141" t="s">
        <v>623</v>
      </c>
      <c r="I2141" t="str">
        <f>"101050001980512"</f>
        <v>101050001980512</v>
      </c>
      <c r="J2141" t="str">
        <f t="shared" si="412"/>
        <v>126481</v>
      </c>
      <c r="K2141" t="s">
        <v>47</v>
      </c>
      <c r="L2141">
        <v>49</v>
      </c>
      <c r="M2141">
        <v>49</v>
      </c>
      <c r="N2141">
        <v>0</v>
      </c>
      <c r="O2141" s="1">
        <v>45582.477337962962</v>
      </c>
      <c r="P2141" t="s">
        <v>119</v>
      </c>
    </row>
    <row r="2142" spans="1:16" x14ac:dyDescent="0.3">
      <c r="A2142" t="s">
        <v>25</v>
      </c>
      <c r="B2142" s="1">
        <v>45582.477337962962</v>
      </c>
      <c r="C2142" t="str">
        <f t="shared" si="411"/>
        <v>41</v>
      </c>
      <c r="D2142" t="s">
        <v>120</v>
      </c>
      <c r="E2142" t="s">
        <v>116</v>
      </c>
      <c r="F2142" t="s">
        <v>117</v>
      </c>
      <c r="H2142" t="s">
        <v>623</v>
      </c>
      <c r="I2142" t="str">
        <f>"101050001980513"</f>
        <v>101050001980513</v>
      </c>
      <c r="J2142" t="str">
        <f t="shared" si="412"/>
        <v>126481</v>
      </c>
      <c r="K2142" t="s">
        <v>47</v>
      </c>
      <c r="L2142">
        <v>49</v>
      </c>
      <c r="M2142">
        <v>49</v>
      </c>
      <c r="N2142">
        <v>0</v>
      </c>
      <c r="O2142" s="1">
        <v>45582.477337962962</v>
      </c>
      <c r="P2142" t="s">
        <v>119</v>
      </c>
    </row>
    <row r="2143" spans="1:16" x14ac:dyDescent="0.3">
      <c r="A2143" t="s">
        <v>25</v>
      </c>
      <c r="B2143" s="1">
        <v>45582.477337962962</v>
      </c>
      <c r="C2143" t="str">
        <f t="shared" si="411"/>
        <v>41</v>
      </c>
      <c r="D2143" t="s">
        <v>120</v>
      </c>
      <c r="E2143" t="s">
        <v>116</v>
      </c>
      <c r="F2143" t="s">
        <v>117</v>
      </c>
      <c r="H2143" t="s">
        <v>623</v>
      </c>
      <c r="I2143" t="str">
        <f>"101050001980519"</f>
        <v>101050001980519</v>
      </c>
      <c r="J2143" t="str">
        <f t="shared" si="412"/>
        <v>126481</v>
      </c>
      <c r="K2143" t="s">
        <v>47</v>
      </c>
      <c r="L2143">
        <v>49</v>
      </c>
      <c r="M2143">
        <v>49</v>
      </c>
      <c r="N2143">
        <v>0</v>
      </c>
      <c r="O2143" s="1">
        <v>45582.477337962962</v>
      </c>
      <c r="P2143" t="s">
        <v>119</v>
      </c>
    </row>
    <row r="2144" spans="1:16" x14ac:dyDescent="0.3">
      <c r="A2144" t="s">
        <v>25</v>
      </c>
      <c r="B2144" s="1">
        <v>45582.477337962962</v>
      </c>
      <c r="C2144" t="str">
        <f t="shared" si="411"/>
        <v>41</v>
      </c>
      <c r="D2144" t="s">
        <v>120</v>
      </c>
      <c r="E2144" t="s">
        <v>116</v>
      </c>
      <c r="F2144" t="s">
        <v>117</v>
      </c>
      <c r="H2144" t="s">
        <v>623</v>
      </c>
      <c r="I2144" t="str">
        <f>"101050001980518"</f>
        <v>101050001980518</v>
      </c>
      <c r="J2144" t="str">
        <f t="shared" si="412"/>
        <v>126481</v>
      </c>
      <c r="K2144" t="s">
        <v>47</v>
      </c>
      <c r="L2144">
        <v>49</v>
      </c>
      <c r="M2144">
        <v>49</v>
      </c>
      <c r="N2144">
        <v>0</v>
      </c>
      <c r="O2144" s="1">
        <v>45582.477337962962</v>
      </c>
      <c r="P2144" t="s">
        <v>119</v>
      </c>
    </row>
    <row r="2145" spans="1:16" x14ac:dyDescent="0.3">
      <c r="A2145" t="s">
        <v>25</v>
      </c>
      <c r="B2145" s="1">
        <v>45582.47619212963</v>
      </c>
      <c r="C2145" t="str">
        <f>"38"</f>
        <v>38</v>
      </c>
      <c r="D2145" t="s">
        <v>115</v>
      </c>
      <c r="E2145" t="s">
        <v>116</v>
      </c>
      <c r="F2145" t="s">
        <v>117</v>
      </c>
      <c r="H2145" t="s">
        <v>624</v>
      </c>
      <c r="L2145">
        <v>0</v>
      </c>
      <c r="M2145">
        <v>0</v>
      </c>
      <c r="N2145">
        <v>0</v>
      </c>
      <c r="O2145" s="1">
        <v>45582.47619212963</v>
      </c>
      <c r="P2145" t="s">
        <v>125</v>
      </c>
    </row>
    <row r="2146" spans="1:16" x14ac:dyDescent="0.3">
      <c r="A2146" t="s">
        <v>25</v>
      </c>
      <c r="B2146" s="1">
        <v>45582.47619212963</v>
      </c>
      <c r="C2146" t="str">
        <f t="shared" ref="C2146:C2152" si="413">"41"</f>
        <v>41</v>
      </c>
      <c r="D2146" t="s">
        <v>120</v>
      </c>
      <c r="E2146" t="s">
        <v>116</v>
      </c>
      <c r="F2146" t="s">
        <v>117</v>
      </c>
      <c r="H2146" t="s">
        <v>624</v>
      </c>
      <c r="I2146" t="str">
        <f>"101050002024690"</f>
        <v>101050002024690</v>
      </c>
      <c r="J2146" t="str">
        <f t="shared" ref="J2146:J2152" si="414">"514866"</f>
        <v>514866</v>
      </c>
      <c r="K2146" t="s">
        <v>14</v>
      </c>
      <c r="L2146">
        <v>49</v>
      </c>
      <c r="M2146">
        <v>49</v>
      </c>
      <c r="N2146">
        <v>0</v>
      </c>
      <c r="O2146" s="1">
        <v>45582.47619212963</v>
      </c>
      <c r="P2146" t="s">
        <v>125</v>
      </c>
    </row>
    <row r="2147" spans="1:16" x14ac:dyDescent="0.3">
      <c r="A2147" t="s">
        <v>25</v>
      </c>
      <c r="B2147" s="1">
        <v>45582.47619212963</v>
      </c>
      <c r="C2147" t="str">
        <f t="shared" si="413"/>
        <v>41</v>
      </c>
      <c r="D2147" t="s">
        <v>120</v>
      </c>
      <c r="E2147" t="s">
        <v>116</v>
      </c>
      <c r="F2147" t="s">
        <v>117</v>
      </c>
      <c r="H2147" t="s">
        <v>624</v>
      </c>
      <c r="I2147" t="str">
        <f>"101050002024685"</f>
        <v>101050002024685</v>
      </c>
      <c r="J2147" t="str">
        <f t="shared" si="414"/>
        <v>514866</v>
      </c>
      <c r="K2147" t="s">
        <v>14</v>
      </c>
      <c r="L2147">
        <v>49</v>
      </c>
      <c r="M2147">
        <v>49</v>
      </c>
      <c r="N2147">
        <v>0</v>
      </c>
      <c r="O2147" s="1">
        <v>45582.47619212963</v>
      </c>
      <c r="P2147" t="s">
        <v>125</v>
      </c>
    </row>
    <row r="2148" spans="1:16" x14ac:dyDescent="0.3">
      <c r="A2148" t="s">
        <v>25</v>
      </c>
      <c r="B2148" s="1">
        <v>45582.47619212963</v>
      </c>
      <c r="C2148" t="str">
        <f t="shared" si="413"/>
        <v>41</v>
      </c>
      <c r="D2148" t="s">
        <v>120</v>
      </c>
      <c r="E2148" t="s">
        <v>116</v>
      </c>
      <c r="F2148" t="s">
        <v>117</v>
      </c>
      <c r="H2148" t="s">
        <v>624</v>
      </c>
      <c r="I2148" t="str">
        <f>"101050002024480"</f>
        <v>101050002024480</v>
      </c>
      <c r="J2148" t="str">
        <f t="shared" si="414"/>
        <v>514866</v>
      </c>
      <c r="K2148" t="s">
        <v>14</v>
      </c>
      <c r="L2148">
        <v>49</v>
      </c>
      <c r="M2148">
        <v>49</v>
      </c>
      <c r="N2148">
        <v>0</v>
      </c>
      <c r="O2148" s="1">
        <v>45582.47619212963</v>
      </c>
      <c r="P2148" t="s">
        <v>125</v>
      </c>
    </row>
    <row r="2149" spans="1:16" x14ac:dyDescent="0.3">
      <c r="A2149" t="s">
        <v>25</v>
      </c>
      <c r="B2149" s="1">
        <v>45582.47619212963</v>
      </c>
      <c r="C2149" t="str">
        <f t="shared" si="413"/>
        <v>41</v>
      </c>
      <c r="D2149" t="s">
        <v>120</v>
      </c>
      <c r="E2149" t="s">
        <v>116</v>
      </c>
      <c r="F2149" t="s">
        <v>117</v>
      </c>
      <c r="H2149" t="s">
        <v>624</v>
      </c>
      <c r="I2149" t="str">
        <f>"101050002017574"</f>
        <v>101050002017574</v>
      </c>
      <c r="J2149" t="str">
        <f t="shared" si="414"/>
        <v>514866</v>
      </c>
      <c r="K2149" t="s">
        <v>14</v>
      </c>
      <c r="L2149">
        <v>49</v>
      </c>
      <c r="M2149">
        <v>49</v>
      </c>
      <c r="N2149">
        <v>0</v>
      </c>
      <c r="O2149" s="1">
        <v>45582.47619212963</v>
      </c>
      <c r="P2149" t="s">
        <v>125</v>
      </c>
    </row>
    <row r="2150" spans="1:16" x14ac:dyDescent="0.3">
      <c r="A2150" t="s">
        <v>25</v>
      </c>
      <c r="B2150" s="1">
        <v>45582.47619212963</v>
      </c>
      <c r="C2150" t="str">
        <f t="shared" si="413"/>
        <v>41</v>
      </c>
      <c r="D2150" t="s">
        <v>120</v>
      </c>
      <c r="E2150" t="s">
        <v>116</v>
      </c>
      <c r="F2150" t="s">
        <v>117</v>
      </c>
      <c r="H2150" t="s">
        <v>624</v>
      </c>
      <c r="I2150" t="str">
        <f>"101050002024148"</f>
        <v>101050002024148</v>
      </c>
      <c r="J2150" t="str">
        <f t="shared" si="414"/>
        <v>514866</v>
      </c>
      <c r="K2150" t="s">
        <v>14</v>
      </c>
      <c r="L2150">
        <v>49</v>
      </c>
      <c r="M2150">
        <v>49</v>
      </c>
      <c r="N2150">
        <v>0</v>
      </c>
      <c r="O2150" s="1">
        <v>45582.47619212963</v>
      </c>
      <c r="P2150" t="s">
        <v>125</v>
      </c>
    </row>
    <row r="2151" spans="1:16" x14ac:dyDescent="0.3">
      <c r="A2151" t="s">
        <v>25</v>
      </c>
      <c r="B2151" s="1">
        <v>45582.47619212963</v>
      </c>
      <c r="C2151" t="str">
        <f t="shared" si="413"/>
        <v>41</v>
      </c>
      <c r="D2151" t="s">
        <v>120</v>
      </c>
      <c r="E2151" t="s">
        <v>116</v>
      </c>
      <c r="F2151" t="s">
        <v>117</v>
      </c>
      <c r="H2151" t="s">
        <v>624</v>
      </c>
      <c r="I2151" t="str">
        <f>"101050002017575"</f>
        <v>101050002017575</v>
      </c>
      <c r="J2151" t="str">
        <f t="shared" si="414"/>
        <v>514866</v>
      </c>
      <c r="K2151" t="s">
        <v>14</v>
      </c>
      <c r="L2151">
        <v>49</v>
      </c>
      <c r="M2151">
        <v>49</v>
      </c>
      <c r="N2151">
        <v>0</v>
      </c>
      <c r="O2151" s="1">
        <v>45582.47619212963</v>
      </c>
      <c r="P2151" t="s">
        <v>125</v>
      </c>
    </row>
    <row r="2152" spans="1:16" x14ac:dyDescent="0.3">
      <c r="A2152" t="s">
        <v>25</v>
      </c>
      <c r="B2152" s="1">
        <v>45582.476180555554</v>
      </c>
      <c r="C2152" t="str">
        <f t="shared" si="413"/>
        <v>41</v>
      </c>
      <c r="D2152" t="s">
        <v>120</v>
      </c>
      <c r="E2152" t="s">
        <v>116</v>
      </c>
      <c r="F2152" t="s">
        <v>117</v>
      </c>
      <c r="H2152" t="s">
        <v>624</v>
      </c>
      <c r="I2152" t="str">
        <f>"101620000457946"</f>
        <v>101620000457946</v>
      </c>
      <c r="J2152" t="str">
        <f t="shared" si="414"/>
        <v>514866</v>
      </c>
      <c r="K2152" t="s">
        <v>14</v>
      </c>
      <c r="L2152">
        <v>49</v>
      </c>
      <c r="M2152">
        <v>49</v>
      </c>
      <c r="N2152">
        <v>0</v>
      </c>
      <c r="O2152" s="1">
        <v>45582.476180555554</v>
      </c>
      <c r="P2152" t="s">
        <v>125</v>
      </c>
    </row>
    <row r="2153" spans="1:16" x14ac:dyDescent="0.3">
      <c r="A2153" t="s">
        <v>25</v>
      </c>
      <c r="B2153" s="1">
        <v>45582.475821759261</v>
      </c>
      <c r="C2153" t="str">
        <f>"38"</f>
        <v>38</v>
      </c>
      <c r="D2153" t="s">
        <v>115</v>
      </c>
      <c r="E2153" t="s">
        <v>116</v>
      </c>
      <c r="F2153" t="s">
        <v>117</v>
      </c>
      <c r="H2153" t="s">
        <v>625</v>
      </c>
      <c r="L2153">
        <v>0</v>
      </c>
      <c r="M2153">
        <v>0</v>
      </c>
      <c r="N2153">
        <v>0</v>
      </c>
      <c r="O2153" s="1">
        <v>45582.475821759261</v>
      </c>
      <c r="P2153" t="s">
        <v>138</v>
      </c>
    </row>
    <row r="2154" spans="1:16" x14ac:dyDescent="0.3">
      <c r="A2154" t="s">
        <v>25</v>
      </c>
      <c r="B2154" s="1">
        <v>45582.475821759261</v>
      </c>
      <c r="C2154" t="str">
        <f t="shared" ref="C2154:C2160" si="415">"41"</f>
        <v>41</v>
      </c>
      <c r="D2154" t="s">
        <v>120</v>
      </c>
      <c r="E2154" t="s">
        <v>116</v>
      </c>
      <c r="F2154" t="s">
        <v>117</v>
      </c>
      <c r="H2154" t="s">
        <v>625</v>
      </c>
      <c r="I2154" t="str">
        <f>"101050002022180"</f>
        <v>101050002022180</v>
      </c>
      <c r="J2154" t="str">
        <f t="shared" ref="J2154:J2160" si="416">"2530"</f>
        <v>2530</v>
      </c>
      <c r="K2154" t="s">
        <v>74</v>
      </c>
      <c r="L2154">
        <v>49</v>
      </c>
      <c r="M2154">
        <v>49</v>
      </c>
      <c r="N2154">
        <v>0</v>
      </c>
      <c r="O2154" s="1">
        <v>45582.475821759261</v>
      </c>
      <c r="P2154" t="s">
        <v>138</v>
      </c>
    </row>
    <row r="2155" spans="1:16" x14ac:dyDescent="0.3">
      <c r="A2155" t="s">
        <v>25</v>
      </c>
      <c r="B2155" s="1">
        <v>45582.475810185184</v>
      </c>
      <c r="C2155" t="str">
        <f t="shared" si="415"/>
        <v>41</v>
      </c>
      <c r="D2155" t="s">
        <v>120</v>
      </c>
      <c r="E2155" t="s">
        <v>116</v>
      </c>
      <c r="F2155" t="s">
        <v>117</v>
      </c>
      <c r="H2155" t="s">
        <v>625</v>
      </c>
      <c r="I2155" t="str">
        <f>"101050002022440"</f>
        <v>101050002022440</v>
      </c>
      <c r="J2155" t="str">
        <f t="shared" si="416"/>
        <v>2530</v>
      </c>
      <c r="K2155" t="s">
        <v>74</v>
      </c>
      <c r="L2155">
        <v>49</v>
      </c>
      <c r="M2155">
        <v>49</v>
      </c>
      <c r="N2155">
        <v>0</v>
      </c>
      <c r="O2155" s="1">
        <v>45582.475810185184</v>
      </c>
      <c r="P2155" t="s">
        <v>138</v>
      </c>
    </row>
    <row r="2156" spans="1:16" x14ac:dyDescent="0.3">
      <c r="A2156" t="s">
        <v>25</v>
      </c>
      <c r="B2156" s="1">
        <v>45582.475810185184</v>
      </c>
      <c r="C2156" t="str">
        <f t="shared" si="415"/>
        <v>41</v>
      </c>
      <c r="D2156" t="s">
        <v>120</v>
      </c>
      <c r="E2156" t="s">
        <v>116</v>
      </c>
      <c r="F2156" t="s">
        <v>117</v>
      </c>
      <c r="H2156" t="s">
        <v>625</v>
      </c>
      <c r="I2156" t="str">
        <f>"101050002022439"</f>
        <v>101050002022439</v>
      </c>
      <c r="J2156" t="str">
        <f t="shared" si="416"/>
        <v>2530</v>
      </c>
      <c r="K2156" t="s">
        <v>74</v>
      </c>
      <c r="L2156">
        <v>49</v>
      </c>
      <c r="M2156">
        <v>49</v>
      </c>
      <c r="N2156">
        <v>0</v>
      </c>
      <c r="O2156" s="1">
        <v>45582.475810185184</v>
      </c>
      <c r="P2156" t="s">
        <v>138</v>
      </c>
    </row>
    <row r="2157" spans="1:16" x14ac:dyDescent="0.3">
      <c r="A2157" t="s">
        <v>25</v>
      </c>
      <c r="B2157" s="1">
        <v>45582.475810185184</v>
      </c>
      <c r="C2157" t="str">
        <f t="shared" si="415"/>
        <v>41</v>
      </c>
      <c r="D2157" t="s">
        <v>120</v>
      </c>
      <c r="E2157" t="s">
        <v>116</v>
      </c>
      <c r="F2157" t="s">
        <v>117</v>
      </c>
      <c r="H2157" t="s">
        <v>625</v>
      </c>
      <c r="I2157" t="str">
        <f>"101050002022057"</f>
        <v>101050002022057</v>
      </c>
      <c r="J2157" t="str">
        <f t="shared" si="416"/>
        <v>2530</v>
      </c>
      <c r="K2157" t="s">
        <v>74</v>
      </c>
      <c r="L2157">
        <v>49</v>
      </c>
      <c r="M2157">
        <v>49</v>
      </c>
      <c r="N2157">
        <v>0</v>
      </c>
      <c r="O2157" s="1">
        <v>45582.475810185184</v>
      </c>
      <c r="P2157" t="s">
        <v>138</v>
      </c>
    </row>
    <row r="2158" spans="1:16" x14ac:dyDescent="0.3">
      <c r="A2158" t="s">
        <v>25</v>
      </c>
      <c r="B2158" s="1">
        <v>45582.475810185184</v>
      </c>
      <c r="C2158" t="str">
        <f t="shared" si="415"/>
        <v>41</v>
      </c>
      <c r="D2158" t="s">
        <v>120</v>
      </c>
      <c r="E2158" t="s">
        <v>116</v>
      </c>
      <c r="F2158" t="s">
        <v>117</v>
      </c>
      <c r="H2158" t="s">
        <v>625</v>
      </c>
      <c r="I2158" t="str">
        <f>"101050002015517"</f>
        <v>101050002015517</v>
      </c>
      <c r="J2158" t="str">
        <f t="shared" si="416"/>
        <v>2530</v>
      </c>
      <c r="K2158" t="s">
        <v>74</v>
      </c>
      <c r="L2158">
        <v>49</v>
      </c>
      <c r="M2158">
        <v>49</v>
      </c>
      <c r="N2158">
        <v>0</v>
      </c>
      <c r="O2158" s="1">
        <v>45582.475810185184</v>
      </c>
      <c r="P2158" t="s">
        <v>138</v>
      </c>
    </row>
    <row r="2159" spans="1:16" x14ac:dyDescent="0.3">
      <c r="A2159" t="s">
        <v>25</v>
      </c>
      <c r="B2159" s="1">
        <v>45582.475810185184</v>
      </c>
      <c r="C2159" t="str">
        <f t="shared" si="415"/>
        <v>41</v>
      </c>
      <c r="D2159" t="s">
        <v>120</v>
      </c>
      <c r="E2159" t="s">
        <v>116</v>
      </c>
      <c r="F2159" t="s">
        <v>117</v>
      </c>
      <c r="H2159" t="s">
        <v>625</v>
      </c>
      <c r="I2159" t="str">
        <f>"101050002014356"</f>
        <v>101050002014356</v>
      </c>
      <c r="J2159" t="str">
        <f t="shared" si="416"/>
        <v>2530</v>
      </c>
      <c r="K2159" t="s">
        <v>74</v>
      </c>
      <c r="L2159">
        <v>49</v>
      </c>
      <c r="M2159">
        <v>49</v>
      </c>
      <c r="N2159">
        <v>0</v>
      </c>
      <c r="O2159" s="1">
        <v>45582.475810185184</v>
      </c>
      <c r="P2159" t="s">
        <v>138</v>
      </c>
    </row>
    <row r="2160" spans="1:16" x14ac:dyDescent="0.3">
      <c r="A2160" t="s">
        <v>25</v>
      </c>
      <c r="B2160" s="1">
        <v>45582.475810185184</v>
      </c>
      <c r="C2160" t="str">
        <f t="shared" si="415"/>
        <v>41</v>
      </c>
      <c r="D2160" t="s">
        <v>120</v>
      </c>
      <c r="E2160" t="s">
        <v>116</v>
      </c>
      <c r="F2160" t="s">
        <v>117</v>
      </c>
      <c r="H2160" t="s">
        <v>625</v>
      </c>
      <c r="I2160" t="str">
        <f>"101050002013398"</f>
        <v>101050002013398</v>
      </c>
      <c r="J2160" t="str">
        <f t="shared" si="416"/>
        <v>2530</v>
      </c>
      <c r="K2160" t="s">
        <v>74</v>
      </c>
      <c r="L2160">
        <v>49</v>
      </c>
      <c r="M2160">
        <v>49</v>
      </c>
      <c r="N2160">
        <v>0</v>
      </c>
      <c r="O2160" s="1">
        <v>45582.475810185184</v>
      </c>
      <c r="P2160" t="s">
        <v>138</v>
      </c>
    </row>
    <row r="2161" spans="1:16" x14ac:dyDescent="0.3">
      <c r="A2161" t="s">
        <v>25</v>
      </c>
      <c r="B2161" s="1">
        <v>45582.475127314814</v>
      </c>
      <c r="C2161" t="str">
        <f>"38"</f>
        <v>38</v>
      </c>
      <c r="D2161" t="s">
        <v>115</v>
      </c>
      <c r="E2161" t="s">
        <v>116</v>
      </c>
      <c r="F2161" t="s">
        <v>117</v>
      </c>
      <c r="H2161" t="s">
        <v>626</v>
      </c>
      <c r="L2161">
        <v>0</v>
      </c>
      <c r="M2161">
        <v>0</v>
      </c>
      <c r="N2161">
        <v>0</v>
      </c>
      <c r="O2161" s="1">
        <v>45582.475127314814</v>
      </c>
      <c r="P2161" t="s">
        <v>138</v>
      </c>
    </row>
    <row r="2162" spans="1:16" x14ac:dyDescent="0.3">
      <c r="A2162" t="s">
        <v>25</v>
      </c>
      <c r="B2162" s="1">
        <v>45582.475127314814</v>
      </c>
      <c r="C2162" t="str">
        <f t="shared" ref="C2162:C2168" si="417">"41"</f>
        <v>41</v>
      </c>
      <c r="D2162" t="s">
        <v>120</v>
      </c>
      <c r="E2162" t="s">
        <v>116</v>
      </c>
      <c r="F2162" t="s">
        <v>117</v>
      </c>
      <c r="H2162" t="s">
        <v>626</v>
      </c>
      <c r="I2162" t="str">
        <f>"101570001107820"</f>
        <v>101570001107820</v>
      </c>
      <c r="J2162" t="str">
        <f t="shared" ref="J2162:J2168" si="418">"126312"</f>
        <v>126312</v>
      </c>
      <c r="K2162" t="s">
        <v>44</v>
      </c>
      <c r="L2162">
        <v>49</v>
      </c>
      <c r="M2162">
        <v>49</v>
      </c>
      <c r="N2162">
        <v>0</v>
      </c>
      <c r="O2162" s="1">
        <v>45582.475127314814</v>
      </c>
      <c r="P2162" t="s">
        <v>138</v>
      </c>
    </row>
    <row r="2163" spans="1:16" x14ac:dyDescent="0.3">
      <c r="A2163" t="s">
        <v>25</v>
      </c>
      <c r="B2163" s="1">
        <v>45582.475115740737</v>
      </c>
      <c r="C2163" t="str">
        <f t="shared" si="417"/>
        <v>41</v>
      </c>
      <c r="D2163" t="s">
        <v>120</v>
      </c>
      <c r="E2163" t="s">
        <v>116</v>
      </c>
      <c r="F2163" t="s">
        <v>117</v>
      </c>
      <c r="H2163" t="s">
        <v>626</v>
      </c>
      <c r="I2163" t="str">
        <f>"101570001111248"</f>
        <v>101570001111248</v>
      </c>
      <c r="J2163" t="str">
        <f t="shared" si="418"/>
        <v>126312</v>
      </c>
      <c r="K2163" t="s">
        <v>44</v>
      </c>
      <c r="L2163">
        <v>49</v>
      </c>
      <c r="M2163">
        <v>49</v>
      </c>
      <c r="N2163">
        <v>0</v>
      </c>
      <c r="O2163" s="1">
        <v>45582.475115740737</v>
      </c>
      <c r="P2163" t="s">
        <v>138</v>
      </c>
    </row>
    <row r="2164" spans="1:16" x14ac:dyDescent="0.3">
      <c r="A2164" t="s">
        <v>25</v>
      </c>
      <c r="B2164" s="1">
        <v>45582.475115740737</v>
      </c>
      <c r="C2164" t="str">
        <f t="shared" si="417"/>
        <v>41</v>
      </c>
      <c r="D2164" t="s">
        <v>120</v>
      </c>
      <c r="E2164" t="s">
        <v>116</v>
      </c>
      <c r="F2164" t="s">
        <v>117</v>
      </c>
      <c r="H2164" t="s">
        <v>626</v>
      </c>
      <c r="I2164" t="str">
        <f>"101570001106744"</f>
        <v>101570001106744</v>
      </c>
      <c r="J2164" t="str">
        <f t="shared" si="418"/>
        <v>126312</v>
      </c>
      <c r="K2164" t="s">
        <v>44</v>
      </c>
      <c r="L2164">
        <v>49</v>
      </c>
      <c r="M2164">
        <v>49</v>
      </c>
      <c r="N2164">
        <v>0</v>
      </c>
      <c r="O2164" s="1">
        <v>45582.475115740737</v>
      </c>
      <c r="P2164" t="s">
        <v>138</v>
      </c>
    </row>
    <row r="2165" spans="1:16" x14ac:dyDescent="0.3">
      <c r="A2165" t="s">
        <v>25</v>
      </c>
      <c r="B2165" s="1">
        <v>45582.475115740737</v>
      </c>
      <c r="C2165" t="str">
        <f t="shared" si="417"/>
        <v>41</v>
      </c>
      <c r="D2165" t="s">
        <v>120</v>
      </c>
      <c r="E2165" t="s">
        <v>116</v>
      </c>
      <c r="F2165" t="s">
        <v>117</v>
      </c>
      <c r="H2165" t="s">
        <v>626</v>
      </c>
      <c r="I2165" t="str">
        <f>"101570001106742"</f>
        <v>101570001106742</v>
      </c>
      <c r="J2165" t="str">
        <f t="shared" si="418"/>
        <v>126312</v>
      </c>
      <c r="K2165" t="s">
        <v>44</v>
      </c>
      <c r="L2165">
        <v>49</v>
      </c>
      <c r="M2165">
        <v>49</v>
      </c>
      <c r="N2165">
        <v>0</v>
      </c>
      <c r="O2165" s="1">
        <v>45582.475115740737</v>
      </c>
      <c r="P2165" t="s">
        <v>138</v>
      </c>
    </row>
    <row r="2166" spans="1:16" x14ac:dyDescent="0.3">
      <c r="A2166" t="s">
        <v>25</v>
      </c>
      <c r="B2166" s="1">
        <v>45582.475115740737</v>
      </c>
      <c r="C2166" t="str">
        <f t="shared" si="417"/>
        <v>41</v>
      </c>
      <c r="D2166" t="s">
        <v>120</v>
      </c>
      <c r="E2166" t="s">
        <v>116</v>
      </c>
      <c r="F2166" t="s">
        <v>117</v>
      </c>
      <c r="H2166" t="s">
        <v>626</v>
      </c>
      <c r="I2166" t="str">
        <f>"101570001107855"</f>
        <v>101570001107855</v>
      </c>
      <c r="J2166" t="str">
        <f t="shared" si="418"/>
        <v>126312</v>
      </c>
      <c r="K2166" t="s">
        <v>44</v>
      </c>
      <c r="L2166">
        <v>49</v>
      </c>
      <c r="M2166">
        <v>49</v>
      </c>
      <c r="N2166">
        <v>0</v>
      </c>
      <c r="O2166" s="1">
        <v>45582.475115740737</v>
      </c>
      <c r="P2166" t="s">
        <v>138</v>
      </c>
    </row>
    <row r="2167" spans="1:16" x14ac:dyDescent="0.3">
      <c r="A2167" t="s">
        <v>25</v>
      </c>
      <c r="B2167" s="1">
        <v>45582.475115740737</v>
      </c>
      <c r="C2167" t="str">
        <f t="shared" si="417"/>
        <v>41</v>
      </c>
      <c r="D2167" t="s">
        <v>120</v>
      </c>
      <c r="E2167" t="s">
        <v>116</v>
      </c>
      <c r="F2167" t="s">
        <v>117</v>
      </c>
      <c r="H2167" t="s">
        <v>626</v>
      </c>
      <c r="I2167" t="str">
        <f>"101570001107816"</f>
        <v>101570001107816</v>
      </c>
      <c r="J2167" t="str">
        <f t="shared" si="418"/>
        <v>126312</v>
      </c>
      <c r="K2167" t="s">
        <v>44</v>
      </c>
      <c r="L2167">
        <v>49</v>
      </c>
      <c r="M2167">
        <v>49</v>
      </c>
      <c r="N2167">
        <v>0</v>
      </c>
      <c r="O2167" s="1">
        <v>45582.475115740737</v>
      </c>
      <c r="P2167" t="s">
        <v>138</v>
      </c>
    </row>
    <row r="2168" spans="1:16" x14ac:dyDescent="0.3">
      <c r="A2168" t="s">
        <v>25</v>
      </c>
      <c r="B2168" s="1">
        <v>45582.475115740737</v>
      </c>
      <c r="C2168" t="str">
        <f t="shared" si="417"/>
        <v>41</v>
      </c>
      <c r="D2168" t="s">
        <v>120</v>
      </c>
      <c r="E2168" t="s">
        <v>116</v>
      </c>
      <c r="F2168" t="s">
        <v>117</v>
      </c>
      <c r="H2168" t="s">
        <v>626</v>
      </c>
      <c r="I2168" t="str">
        <f>"101570001106792"</f>
        <v>101570001106792</v>
      </c>
      <c r="J2168" t="str">
        <f t="shared" si="418"/>
        <v>126312</v>
      </c>
      <c r="K2168" t="s">
        <v>44</v>
      </c>
      <c r="L2168">
        <v>49</v>
      </c>
      <c r="M2168">
        <v>49</v>
      </c>
      <c r="N2168">
        <v>0</v>
      </c>
      <c r="O2168" s="1">
        <v>45582.475115740737</v>
      </c>
      <c r="P2168" t="s">
        <v>138</v>
      </c>
    </row>
    <row r="2169" spans="1:16" x14ac:dyDescent="0.3">
      <c r="A2169" t="s">
        <v>25</v>
      </c>
      <c r="B2169" s="1">
        <v>45582.473912037036</v>
      </c>
      <c r="C2169" t="str">
        <f>"38"</f>
        <v>38</v>
      </c>
      <c r="D2169" t="s">
        <v>115</v>
      </c>
      <c r="E2169" t="s">
        <v>116</v>
      </c>
      <c r="F2169" t="s">
        <v>117</v>
      </c>
      <c r="H2169" t="s">
        <v>616</v>
      </c>
      <c r="L2169">
        <v>0</v>
      </c>
      <c r="M2169">
        <v>0</v>
      </c>
      <c r="N2169">
        <v>0</v>
      </c>
      <c r="O2169" s="1">
        <v>45582.473912037036</v>
      </c>
      <c r="P2169" t="s">
        <v>122</v>
      </c>
    </row>
    <row r="2170" spans="1:16" x14ac:dyDescent="0.3">
      <c r="A2170" t="s">
        <v>25</v>
      </c>
      <c r="B2170" s="1">
        <v>45582.473819444444</v>
      </c>
      <c r="C2170" t="str">
        <f>"38"</f>
        <v>38</v>
      </c>
      <c r="D2170" t="s">
        <v>115</v>
      </c>
      <c r="E2170" t="s">
        <v>116</v>
      </c>
      <c r="F2170" t="s">
        <v>117</v>
      </c>
      <c r="H2170" t="s">
        <v>622</v>
      </c>
      <c r="L2170">
        <v>0</v>
      </c>
      <c r="M2170">
        <v>0</v>
      </c>
      <c r="N2170">
        <v>0</v>
      </c>
      <c r="O2170" s="1">
        <v>45582.473819444444</v>
      </c>
      <c r="P2170" t="s">
        <v>122</v>
      </c>
    </row>
    <row r="2171" spans="1:16" x14ac:dyDescent="0.3">
      <c r="A2171" t="s">
        <v>25</v>
      </c>
      <c r="B2171" s="1">
        <v>45582.473819444444</v>
      </c>
      <c r="C2171" t="str">
        <f>"41"</f>
        <v>41</v>
      </c>
      <c r="D2171" t="s">
        <v>120</v>
      </c>
      <c r="E2171" t="s">
        <v>116</v>
      </c>
      <c r="F2171" t="s">
        <v>117</v>
      </c>
      <c r="H2171" t="s">
        <v>622</v>
      </c>
      <c r="I2171" t="str">
        <f>"101050002025228"</f>
        <v>101050002025228</v>
      </c>
      <c r="J2171" t="str">
        <f>"128376"</f>
        <v>128376</v>
      </c>
      <c r="K2171" t="s">
        <v>67</v>
      </c>
      <c r="L2171">
        <v>49</v>
      </c>
      <c r="M2171">
        <v>49</v>
      </c>
      <c r="N2171">
        <v>0</v>
      </c>
      <c r="O2171" s="1">
        <v>45582.473819444444</v>
      </c>
      <c r="P2171" t="s">
        <v>122</v>
      </c>
    </row>
    <row r="2172" spans="1:16" x14ac:dyDescent="0.3">
      <c r="A2172" t="s">
        <v>25</v>
      </c>
      <c r="B2172" s="1">
        <v>45582.473807870374</v>
      </c>
      <c r="C2172" t="str">
        <f>"41"</f>
        <v>41</v>
      </c>
      <c r="D2172" t="s">
        <v>120</v>
      </c>
      <c r="E2172" t="s">
        <v>116</v>
      </c>
      <c r="F2172" t="s">
        <v>117</v>
      </c>
      <c r="H2172" t="s">
        <v>622</v>
      </c>
      <c r="I2172" t="str">
        <f>"101050002025152"</f>
        <v>101050002025152</v>
      </c>
      <c r="J2172" t="str">
        <f>"128376"</f>
        <v>128376</v>
      </c>
      <c r="K2172" t="s">
        <v>67</v>
      </c>
      <c r="L2172">
        <v>49</v>
      </c>
      <c r="M2172">
        <v>49</v>
      </c>
      <c r="N2172">
        <v>0</v>
      </c>
      <c r="O2172" s="1">
        <v>45582.473807870374</v>
      </c>
      <c r="P2172" t="s">
        <v>122</v>
      </c>
    </row>
    <row r="2173" spans="1:16" x14ac:dyDescent="0.3">
      <c r="A2173" t="s">
        <v>25</v>
      </c>
      <c r="B2173" s="1">
        <v>45582.473240740743</v>
      </c>
      <c r="C2173" t="str">
        <f>"38"</f>
        <v>38</v>
      </c>
      <c r="D2173" t="s">
        <v>115</v>
      </c>
      <c r="E2173" t="s">
        <v>116</v>
      </c>
      <c r="F2173" t="s">
        <v>117</v>
      </c>
      <c r="H2173" t="s">
        <v>627</v>
      </c>
      <c r="L2173">
        <v>0</v>
      </c>
      <c r="M2173">
        <v>0</v>
      </c>
      <c r="N2173">
        <v>0</v>
      </c>
      <c r="O2173" s="1">
        <v>45582.473240740743</v>
      </c>
      <c r="P2173" t="s">
        <v>138</v>
      </c>
    </row>
    <row r="2174" spans="1:16" x14ac:dyDescent="0.3">
      <c r="A2174" t="s">
        <v>25</v>
      </c>
      <c r="B2174" s="1">
        <v>45582.473240740743</v>
      </c>
      <c r="C2174" t="str">
        <f t="shared" ref="C2174:C2180" si="419">"41"</f>
        <v>41</v>
      </c>
      <c r="D2174" t="s">
        <v>120</v>
      </c>
      <c r="E2174" t="s">
        <v>116</v>
      </c>
      <c r="F2174" t="s">
        <v>117</v>
      </c>
      <c r="H2174" t="s">
        <v>627</v>
      </c>
      <c r="I2174" t="str">
        <f>"101050002020119"</f>
        <v>101050002020119</v>
      </c>
      <c r="J2174" t="str">
        <f t="shared" ref="J2174:J2180" si="420">"514719"</f>
        <v>514719</v>
      </c>
      <c r="K2174" t="s">
        <v>0</v>
      </c>
      <c r="L2174">
        <v>49</v>
      </c>
      <c r="M2174">
        <v>49</v>
      </c>
      <c r="N2174">
        <v>0</v>
      </c>
      <c r="O2174" s="1">
        <v>45582.473240740743</v>
      </c>
      <c r="P2174" t="s">
        <v>138</v>
      </c>
    </row>
    <row r="2175" spans="1:16" x14ac:dyDescent="0.3">
      <c r="A2175" t="s">
        <v>25</v>
      </c>
      <c r="B2175" s="1">
        <v>45582.473240740743</v>
      </c>
      <c r="C2175" t="str">
        <f t="shared" si="419"/>
        <v>41</v>
      </c>
      <c r="D2175" t="s">
        <v>120</v>
      </c>
      <c r="E2175" t="s">
        <v>116</v>
      </c>
      <c r="F2175" t="s">
        <v>117</v>
      </c>
      <c r="H2175" t="s">
        <v>627</v>
      </c>
      <c r="I2175" t="str">
        <f>"101050002020135"</f>
        <v>101050002020135</v>
      </c>
      <c r="J2175" t="str">
        <f t="shared" si="420"/>
        <v>514719</v>
      </c>
      <c r="K2175" t="s">
        <v>0</v>
      </c>
      <c r="L2175">
        <v>49</v>
      </c>
      <c r="M2175">
        <v>49</v>
      </c>
      <c r="N2175">
        <v>0</v>
      </c>
      <c r="O2175" s="1">
        <v>45582.473240740743</v>
      </c>
      <c r="P2175" t="s">
        <v>138</v>
      </c>
    </row>
    <row r="2176" spans="1:16" x14ac:dyDescent="0.3">
      <c r="A2176" t="s">
        <v>25</v>
      </c>
      <c r="B2176" s="1">
        <v>45582.473240740743</v>
      </c>
      <c r="C2176" t="str">
        <f t="shared" si="419"/>
        <v>41</v>
      </c>
      <c r="D2176" t="s">
        <v>120</v>
      </c>
      <c r="E2176" t="s">
        <v>116</v>
      </c>
      <c r="F2176" t="s">
        <v>117</v>
      </c>
      <c r="H2176" t="s">
        <v>627</v>
      </c>
      <c r="I2176" t="str">
        <f>"101050002020136"</f>
        <v>101050002020136</v>
      </c>
      <c r="J2176" t="str">
        <f t="shared" si="420"/>
        <v>514719</v>
      </c>
      <c r="K2176" t="s">
        <v>0</v>
      </c>
      <c r="L2176">
        <v>49</v>
      </c>
      <c r="M2176">
        <v>49</v>
      </c>
      <c r="N2176">
        <v>0</v>
      </c>
      <c r="O2176" s="1">
        <v>45582.473240740743</v>
      </c>
      <c r="P2176" t="s">
        <v>138</v>
      </c>
    </row>
    <row r="2177" spans="1:16" x14ac:dyDescent="0.3">
      <c r="A2177" t="s">
        <v>25</v>
      </c>
      <c r="B2177" s="1">
        <v>45582.473240740743</v>
      </c>
      <c r="C2177" t="str">
        <f t="shared" si="419"/>
        <v>41</v>
      </c>
      <c r="D2177" t="s">
        <v>120</v>
      </c>
      <c r="E2177" t="s">
        <v>116</v>
      </c>
      <c r="F2177" t="s">
        <v>117</v>
      </c>
      <c r="H2177" t="s">
        <v>627</v>
      </c>
      <c r="I2177" t="str">
        <f>"101050002020137"</f>
        <v>101050002020137</v>
      </c>
      <c r="J2177" t="str">
        <f t="shared" si="420"/>
        <v>514719</v>
      </c>
      <c r="K2177" t="s">
        <v>0</v>
      </c>
      <c r="L2177">
        <v>49</v>
      </c>
      <c r="M2177">
        <v>49</v>
      </c>
      <c r="N2177">
        <v>0</v>
      </c>
      <c r="O2177" s="1">
        <v>45582.473240740743</v>
      </c>
      <c r="P2177" t="s">
        <v>138</v>
      </c>
    </row>
    <row r="2178" spans="1:16" x14ac:dyDescent="0.3">
      <c r="A2178" t="s">
        <v>25</v>
      </c>
      <c r="B2178" s="1">
        <v>45582.473240740743</v>
      </c>
      <c r="C2178" t="str">
        <f t="shared" si="419"/>
        <v>41</v>
      </c>
      <c r="D2178" t="s">
        <v>120</v>
      </c>
      <c r="E2178" t="s">
        <v>116</v>
      </c>
      <c r="F2178" t="s">
        <v>117</v>
      </c>
      <c r="H2178" t="s">
        <v>627</v>
      </c>
      <c r="I2178" t="str">
        <f>"101050002019878"</f>
        <v>101050002019878</v>
      </c>
      <c r="J2178" t="str">
        <f t="shared" si="420"/>
        <v>514719</v>
      </c>
      <c r="K2178" t="s">
        <v>0</v>
      </c>
      <c r="L2178">
        <v>49</v>
      </c>
      <c r="M2178">
        <v>49</v>
      </c>
      <c r="N2178">
        <v>0</v>
      </c>
      <c r="O2178" s="1">
        <v>45582.473240740743</v>
      </c>
      <c r="P2178" t="s">
        <v>138</v>
      </c>
    </row>
    <row r="2179" spans="1:16" x14ac:dyDescent="0.3">
      <c r="A2179" t="s">
        <v>25</v>
      </c>
      <c r="B2179" s="1">
        <v>45582.473240740743</v>
      </c>
      <c r="C2179" t="str">
        <f t="shared" si="419"/>
        <v>41</v>
      </c>
      <c r="D2179" t="s">
        <v>120</v>
      </c>
      <c r="E2179" t="s">
        <v>116</v>
      </c>
      <c r="F2179" t="s">
        <v>117</v>
      </c>
      <c r="H2179" t="s">
        <v>627</v>
      </c>
      <c r="I2179" t="str">
        <f>"101050002019877"</f>
        <v>101050002019877</v>
      </c>
      <c r="J2179" t="str">
        <f t="shared" si="420"/>
        <v>514719</v>
      </c>
      <c r="K2179" t="s">
        <v>0</v>
      </c>
      <c r="L2179">
        <v>49</v>
      </c>
      <c r="M2179">
        <v>49</v>
      </c>
      <c r="N2179">
        <v>0</v>
      </c>
      <c r="O2179" s="1">
        <v>45582.473240740743</v>
      </c>
      <c r="P2179" t="s">
        <v>138</v>
      </c>
    </row>
    <row r="2180" spans="1:16" x14ac:dyDescent="0.3">
      <c r="A2180" t="s">
        <v>25</v>
      </c>
      <c r="B2180" s="1">
        <v>45582.473240740743</v>
      </c>
      <c r="C2180" t="str">
        <f t="shared" si="419"/>
        <v>41</v>
      </c>
      <c r="D2180" t="s">
        <v>120</v>
      </c>
      <c r="E2180" t="s">
        <v>116</v>
      </c>
      <c r="F2180" t="s">
        <v>117</v>
      </c>
      <c r="H2180" t="s">
        <v>627</v>
      </c>
      <c r="I2180" t="str">
        <f>"101050002019866"</f>
        <v>101050002019866</v>
      </c>
      <c r="J2180" t="str">
        <f t="shared" si="420"/>
        <v>514719</v>
      </c>
      <c r="K2180" t="s">
        <v>0</v>
      </c>
      <c r="L2180">
        <v>49</v>
      </c>
      <c r="M2180">
        <v>49</v>
      </c>
      <c r="N2180">
        <v>0</v>
      </c>
      <c r="O2180" s="1">
        <v>45582.473240740743</v>
      </c>
      <c r="P2180" t="s">
        <v>138</v>
      </c>
    </row>
    <row r="2181" spans="1:16" x14ac:dyDescent="0.3">
      <c r="A2181" t="s">
        <v>25</v>
      </c>
      <c r="B2181" s="1">
        <v>45582.471643518518</v>
      </c>
      <c r="C2181" t="str">
        <f>"38"</f>
        <v>38</v>
      </c>
      <c r="D2181" t="s">
        <v>115</v>
      </c>
      <c r="E2181" t="s">
        <v>116</v>
      </c>
      <c r="F2181" t="s">
        <v>117</v>
      </c>
      <c r="H2181" t="s">
        <v>628</v>
      </c>
      <c r="L2181">
        <v>0</v>
      </c>
      <c r="M2181">
        <v>0</v>
      </c>
      <c r="N2181">
        <v>0</v>
      </c>
      <c r="O2181" s="1">
        <v>45582.471643518518</v>
      </c>
      <c r="P2181" t="s">
        <v>138</v>
      </c>
    </row>
    <row r="2182" spans="1:16" x14ac:dyDescent="0.3">
      <c r="A2182" t="s">
        <v>25</v>
      </c>
      <c r="B2182" s="1">
        <v>45582.471643518518</v>
      </c>
      <c r="C2182" t="str">
        <f t="shared" ref="C2182:C2188" si="421">"41"</f>
        <v>41</v>
      </c>
      <c r="D2182" t="s">
        <v>120</v>
      </c>
      <c r="E2182" t="s">
        <v>116</v>
      </c>
      <c r="F2182" t="s">
        <v>117</v>
      </c>
      <c r="H2182" t="s">
        <v>628</v>
      </c>
      <c r="I2182" t="str">
        <f>"101050002024451"</f>
        <v>101050002024451</v>
      </c>
      <c r="J2182" t="str">
        <f t="shared" ref="J2182:J2188" si="422">"514865"</f>
        <v>514865</v>
      </c>
      <c r="K2182" t="s">
        <v>92</v>
      </c>
      <c r="L2182">
        <v>49</v>
      </c>
      <c r="M2182">
        <v>49</v>
      </c>
      <c r="N2182">
        <v>0</v>
      </c>
      <c r="O2182" s="1">
        <v>45582.471643518518</v>
      </c>
      <c r="P2182" t="s">
        <v>138</v>
      </c>
    </row>
    <row r="2183" spans="1:16" x14ac:dyDescent="0.3">
      <c r="A2183" t="s">
        <v>25</v>
      </c>
      <c r="B2183" s="1">
        <v>45582.471643518518</v>
      </c>
      <c r="C2183" t="str">
        <f t="shared" si="421"/>
        <v>41</v>
      </c>
      <c r="D2183" t="s">
        <v>120</v>
      </c>
      <c r="E2183" t="s">
        <v>116</v>
      </c>
      <c r="F2183" t="s">
        <v>117</v>
      </c>
      <c r="H2183" t="s">
        <v>628</v>
      </c>
      <c r="I2183" t="str">
        <f>"101050002024348"</f>
        <v>101050002024348</v>
      </c>
      <c r="J2183" t="str">
        <f t="shared" si="422"/>
        <v>514865</v>
      </c>
      <c r="K2183" t="s">
        <v>92</v>
      </c>
      <c r="L2183">
        <v>49</v>
      </c>
      <c r="M2183">
        <v>49</v>
      </c>
      <c r="N2183">
        <v>0</v>
      </c>
      <c r="O2183" s="1">
        <v>45582.471643518518</v>
      </c>
      <c r="P2183" t="s">
        <v>138</v>
      </c>
    </row>
    <row r="2184" spans="1:16" x14ac:dyDescent="0.3">
      <c r="A2184" t="s">
        <v>25</v>
      </c>
      <c r="B2184" s="1">
        <v>45582.471631944441</v>
      </c>
      <c r="C2184" t="str">
        <f t="shared" si="421"/>
        <v>41</v>
      </c>
      <c r="D2184" t="s">
        <v>120</v>
      </c>
      <c r="E2184" t="s">
        <v>116</v>
      </c>
      <c r="F2184" t="s">
        <v>117</v>
      </c>
      <c r="H2184" t="s">
        <v>628</v>
      </c>
      <c r="I2184" t="str">
        <f>"101050002024401"</f>
        <v>101050002024401</v>
      </c>
      <c r="J2184" t="str">
        <f t="shared" si="422"/>
        <v>514865</v>
      </c>
      <c r="K2184" t="s">
        <v>92</v>
      </c>
      <c r="L2184">
        <v>49</v>
      </c>
      <c r="M2184">
        <v>49</v>
      </c>
      <c r="N2184">
        <v>0</v>
      </c>
      <c r="O2184" s="1">
        <v>45582.471631944441</v>
      </c>
      <c r="P2184" t="s">
        <v>138</v>
      </c>
    </row>
    <row r="2185" spans="1:16" x14ac:dyDescent="0.3">
      <c r="A2185" t="s">
        <v>25</v>
      </c>
      <c r="B2185" s="1">
        <v>45582.471631944441</v>
      </c>
      <c r="C2185" t="str">
        <f t="shared" si="421"/>
        <v>41</v>
      </c>
      <c r="D2185" t="s">
        <v>120</v>
      </c>
      <c r="E2185" t="s">
        <v>116</v>
      </c>
      <c r="F2185" t="s">
        <v>117</v>
      </c>
      <c r="H2185" t="s">
        <v>628</v>
      </c>
      <c r="I2185" t="str">
        <f>"101050002024404"</f>
        <v>101050002024404</v>
      </c>
      <c r="J2185" t="str">
        <f t="shared" si="422"/>
        <v>514865</v>
      </c>
      <c r="K2185" t="s">
        <v>92</v>
      </c>
      <c r="L2185">
        <v>49</v>
      </c>
      <c r="M2185">
        <v>49</v>
      </c>
      <c r="N2185">
        <v>0</v>
      </c>
      <c r="O2185" s="1">
        <v>45582.471631944441</v>
      </c>
      <c r="P2185" t="s">
        <v>138</v>
      </c>
    </row>
    <row r="2186" spans="1:16" x14ac:dyDescent="0.3">
      <c r="A2186" t="s">
        <v>25</v>
      </c>
      <c r="B2186" s="1">
        <v>45582.471631944441</v>
      </c>
      <c r="C2186" t="str">
        <f t="shared" si="421"/>
        <v>41</v>
      </c>
      <c r="D2186" t="s">
        <v>120</v>
      </c>
      <c r="E2186" t="s">
        <v>116</v>
      </c>
      <c r="F2186" t="s">
        <v>117</v>
      </c>
      <c r="H2186" t="s">
        <v>628</v>
      </c>
      <c r="I2186" t="str">
        <f>"101050002024400"</f>
        <v>101050002024400</v>
      </c>
      <c r="J2186" t="str">
        <f t="shared" si="422"/>
        <v>514865</v>
      </c>
      <c r="K2186" t="s">
        <v>92</v>
      </c>
      <c r="L2186">
        <v>49</v>
      </c>
      <c r="M2186">
        <v>49</v>
      </c>
      <c r="N2186">
        <v>0</v>
      </c>
      <c r="O2186" s="1">
        <v>45582.471631944441</v>
      </c>
      <c r="P2186" t="s">
        <v>138</v>
      </c>
    </row>
    <row r="2187" spans="1:16" x14ac:dyDescent="0.3">
      <c r="A2187" t="s">
        <v>25</v>
      </c>
      <c r="B2187" s="1">
        <v>45582.471631944441</v>
      </c>
      <c r="C2187" t="str">
        <f t="shared" si="421"/>
        <v>41</v>
      </c>
      <c r="D2187" t="s">
        <v>120</v>
      </c>
      <c r="E2187" t="s">
        <v>116</v>
      </c>
      <c r="F2187" t="s">
        <v>117</v>
      </c>
      <c r="H2187" t="s">
        <v>628</v>
      </c>
      <c r="I2187" t="str">
        <f>"101050002024410"</f>
        <v>101050002024410</v>
      </c>
      <c r="J2187" t="str">
        <f t="shared" si="422"/>
        <v>514865</v>
      </c>
      <c r="K2187" t="s">
        <v>92</v>
      </c>
      <c r="L2187">
        <v>49</v>
      </c>
      <c r="M2187">
        <v>49</v>
      </c>
      <c r="N2187">
        <v>0</v>
      </c>
      <c r="O2187" s="1">
        <v>45582.471631944441</v>
      </c>
      <c r="P2187" t="s">
        <v>138</v>
      </c>
    </row>
    <row r="2188" spans="1:16" x14ac:dyDescent="0.3">
      <c r="A2188" t="s">
        <v>25</v>
      </c>
      <c r="B2188" s="1">
        <v>45582.471631944441</v>
      </c>
      <c r="C2188" t="str">
        <f t="shared" si="421"/>
        <v>41</v>
      </c>
      <c r="D2188" t="s">
        <v>120</v>
      </c>
      <c r="E2188" t="s">
        <v>116</v>
      </c>
      <c r="F2188" t="s">
        <v>117</v>
      </c>
      <c r="H2188" t="s">
        <v>628</v>
      </c>
      <c r="I2188" t="str">
        <f>"101050002024287"</f>
        <v>101050002024287</v>
      </c>
      <c r="J2188" t="str">
        <f t="shared" si="422"/>
        <v>514865</v>
      </c>
      <c r="K2188" t="s">
        <v>92</v>
      </c>
      <c r="L2188">
        <v>49</v>
      </c>
      <c r="M2188">
        <v>49</v>
      </c>
      <c r="N2188">
        <v>0</v>
      </c>
      <c r="O2188" s="1">
        <v>45582.471631944441</v>
      </c>
      <c r="P2188" t="s">
        <v>138</v>
      </c>
    </row>
    <row r="2189" spans="1:16" x14ac:dyDescent="0.3">
      <c r="A2189" t="s">
        <v>25</v>
      </c>
      <c r="B2189" s="1">
        <v>45582.469513888886</v>
      </c>
      <c r="C2189" t="str">
        <f>"38"</f>
        <v>38</v>
      </c>
      <c r="D2189" t="s">
        <v>115</v>
      </c>
      <c r="E2189" t="s">
        <v>116</v>
      </c>
      <c r="F2189" t="s">
        <v>117</v>
      </c>
      <c r="H2189" t="s">
        <v>629</v>
      </c>
      <c r="L2189">
        <v>0</v>
      </c>
      <c r="M2189">
        <v>0</v>
      </c>
      <c r="N2189">
        <v>0</v>
      </c>
      <c r="O2189" s="1">
        <v>45582.469513888886</v>
      </c>
      <c r="P2189" t="s">
        <v>138</v>
      </c>
    </row>
    <row r="2190" spans="1:16" x14ac:dyDescent="0.3">
      <c r="A2190" t="s">
        <v>25</v>
      </c>
      <c r="B2190" s="1">
        <v>45582.469513888886</v>
      </c>
      <c r="C2190" t="str">
        <f>"41"</f>
        <v>41</v>
      </c>
      <c r="D2190" t="s">
        <v>120</v>
      </c>
      <c r="E2190" t="s">
        <v>116</v>
      </c>
      <c r="F2190" t="s">
        <v>117</v>
      </c>
      <c r="H2190" t="s">
        <v>629</v>
      </c>
      <c r="I2190" t="str">
        <f>"101050002024088"</f>
        <v>101050002024088</v>
      </c>
      <c r="J2190" t="str">
        <f>"514475"</f>
        <v>514475</v>
      </c>
      <c r="K2190" t="s">
        <v>23</v>
      </c>
      <c r="L2190">
        <v>49</v>
      </c>
      <c r="M2190">
        <v>49</v>
      </c>
      <c r="N2190">
        <v>0</v>
      </c>
      <c r="O2190" s="1">
        <v>45582.469513888886</v>
      </c>
      <c r="P2190" t="s">
        <v>138</v>
      </c>
    </row>
    <row r="2191" spans="1:16" x14ac:dyDescent="0.3">
      <c r="A2191" t="s">
        <v>25</v>
      </c>
      <c r="B2191" s="1">
        <v>45582.469513888886</v>
      </c>
      <c r="C2191" t="str">
        <f>"41"</f>
        <v>41</v>
      </c>
      <c r="D2191" t="s">
        <v>120</v>
      </c>
      <c r="E2191" t="s">
        <v>116</v>
      </c>
      <c r="F2191" t="s">
        <v>117</v>
      </c>
      <c r="H2191" t="s">
        <v>629</v>
      </c>
      <c r="I2191" t="str">
        <f>"101050002024170"</f>
        <v>101050002024170</v>
      </c>
      <c r="J2191" t="str">
        <f>"514475"</f>
        <v>514475</v>
      </c>
      <c r="K2191" t="s">
        <v>23</v>
      </c>
      <c r="L2191">
        <v>49</v>
      </c>
      <c r="M2191">
        <v>49</v>
      </c>
      <c r="N2191">
        <v>0</v>
      </c>
      <c r="O2191" s="1">
        <v>45582.469513888886</v>
      </c>
      <c r="P2191" t="s">
        <v>138</v>
      </c>
    </row>
    <row r="2192" spans="1:16" x14ac:dyDescent="0.3">
      <c r="A2192" t="s">
        <v>25</v>
      </c>
      <c r="B2192" s="1">
        <v>45582.469502314816</v>
      </c>
      <c r="C2192" t="str">
        <f>"41"</f>
        <v>41</v>
      </c>
      <c r="D2192" t="s">
        <v>120</v>
      </c>
      <c r="E2192" t="s">
        <v>116</v>
      </c>
      <c r="F2192" t="s">
        <v>117</v>
      </c>
      <c r="H2192" t="s">
        <v>629</v>
      </c>
      <c r="I2192" t="str">
        <f>"101050002024089"</f>
        <v>101050002024089</v>
      </c>
      <c r="J2192" t="str">
        <f>"514475"</f>
        <v>514475</v>
      </c>
      <c r="K2192" t="s">
        <v>23</v>
      </c>
      <c r="L2192">
        <v>49</v>
      </c>
      <c r="M2192">
        <v>49</v>
      </c>
      <c r="N2192">
        <v>0</v>
      </c>
      <c r="O2192" s="1">
        <v>45582.469502314816</v>
      </c>
      <c r="P2192" t="s">
        <v>138</v>
      </c>
    </row>
    <row r="2193" spans="1:16" x14ac:dyDescent="0.3">
      <c r="A2193" t="s">
        <v>25</v>
      </c>
      <c r="B2193" s="1">
        <v>45582.4684837963</v>
      </c>
      <c r="C2193" t="str">
        <f>"38"</f>
        <v>38</v>
      </c>
      <c r="D2193" t="s">
        <v>115</v>
      </c>
      <c r="E2193" t="s">
        <v>116</v>
      </c>
      <c r="F2193" t="s">
        <v>117</v>
      </c>
      <c r="H2193" t="s">
        <v>630</v>
      </c>
      <c r="L2193">
        <v>0</v>
      </c>
      <c r="M2193">
        <v>0</v>
      </c>
      <c r="N2193">
        <v>0</v>
      </c>
      <c r="O2193" s="1">
        <v>45582.4684837963</v>
      </c>
      <c r="P2193" t="s">
        <v>392</v>
      </c>
    </row>
    <row r="2194" spans="1:16" x14ac:dyDescent="0.3">
      <c r="A2194" t="s">
        <v>25</v>
      </c>
      <c r="B2194" s="1">
        <v>45582.4684837963</v>
      </c>
      <c r="C2194" t="str">
        <f t="shared" ref="C2194:C2200" si="423">"41"</f>
        <v>41</v>
      </c>
      <c r="D2194" t="s">
        <v>120</v>
      </c>
      <c r="E2194" t="s">
        <v>116</v>
      </c>
      <c r="F2194" t="s">
        <v>117</v>
      </c>
      <c r="H2194" t="s">
        <v>630</v>
      </c>
      <c r="I2194" t="str">
        <f>"101050002003736"</f>
        <v>101050002003736</v>
      </c>
      <c r="J2194" t="str">
        <f t="shared" ref="J2194:J2200" si="424">"514483"</f>
        <v>514483</v>
      </c>
      <c r="K2194" t="s">
        <v>84</v>
      </c>
      <c r="L2194">
        <v>49</v>
      </c>
      <c r="M2194">
        <v>49</v>
      </c>
      <c r="N2194">
        <v>0</v>
      </c>
      <c r="O2194" s="1">
        <v>45582.4684837963</v>
      </c>
      <c r="P2194" t="s">
        <v>392</v>
      </c>
    </row>
    <row r="2195" spans="1:16" x14ac:dyDescent="0.3">
      <c r="A2195" t="s">
        <v>25</v>
      </c>
      <c r="B2195" s="1">
        <v>45582.4684837963</v>
      </c>
      <c r="C2195" t="str">
        <f t="shared" si="423"/>
        <v>41</v>
      </c>
      <c r="D2195" t="s">
        <v>120</v>
      </c>
      <c r="E2195" t="s">
        <v>116</v>
      </c>
      <c r="F2195" t="s">
        <v>117</v>
      </c>
      <c r="H2195" t="s">
        <v>630</v>
      </c>
      <c r="I2195" t="str">
        <f>"101050002025444"</f>
        <v>101050002025444</v>
      </c>
      <c r="J2195" t="str">
        <f t="shared" si="424"/>
        <v>514483</v>
      </c>
      <c r="K2195" t="s">
        <v>84</v>
      </c>
      <c r="L2195">
        <v>49</v>
      </c>
      <c r="M2195">
        <v>49</v>
      </c>
      <c r="N2195">
        <v>0</v>
      </c>
      <c r="O2195" s="1">
        <v>45582.4684837963</v>
      </c>
      <c r="P2195" t="s">
        <v>392</v>
      </c>
    </row>
    <row r="2196" spans="1:16" x14ac:dyDescent="0.3">
      <c r="A2196" t="s">
        <v>25</v>
      </c>
      <c r="B2196" s="1">
        <v>45582.4684837963</v>
      </c>
      <c r="C2196" t="str">
        <f t="shared" si="423"/>
        <v>41</v>
      </c>
      <c r="D2196" t="s">
        <v>120</v>
      </c>
      <c r="E2196" t="s">
        <v>116</v>
      </c>
      <c r="F2196" t="s">
        <v>117</v>
      </c>
      <c r="H2196" t="s">
        <v>630</v>
      </c>
      <c r="I2196" t="str">
        <f>"101050002025445"</f>
        <v>101050002025445</v>
      </c>
      <c r="J2196" t="str">
        <f t="shared" si="424"/>
        <v>514483</v>
      </c>
      <c r="K2196" t="s">
        <v>84</v>
      </c>
      <c r="L2196">
        <v>49</v>
      </c>
      <c r="M2196">
        <v>49</v>
      </c>
      <c r="N2196">
        <v>0</v>
      </c>
      <c r="O2196" s="1">
        <v>45582.4684837963</v>
      </c>
      <c r="P2196" t="s">
        <v>392</v>
      </c>
    </row>
    <row r="2197" spans="1:16" x14ac:dyDescent="0.3">
      <c r="A2197" t="s">
        <v>25</v>
      </c>
      <c r="B2197" s="1">
        <v>45582.468472222223</v>
      </c>
      <c r="C2197" t="str">
        <f t="shared" si="423"/>
        <v>41</v>
      </c>
      <c r="D2197" t="s">
        <v>120</v>
      </c>
      <c r="E2197" t="s">
        <v>116</v>
      </c>
      <c r="F2197" t="s">
        <v>117</v>
      </c>
      <c r="H2197" t="s">
        <v>630</v>
      </c>
      <c r="I2197" t="str">
        <f>"101050002003692"</f>
        <v>101050002003692</v>
      </c>
      <c r="J2197" t="str">
        <f t="shared" si="424"/>
        <v>514483</v>
      </c>
      <c r="K2197" t="s">
        <v>84</v>
      </c>
      <c r="L2197">
        <v>49</v>
      </c>
      <c r="M2197">
        <v>49</v>
      </c>
      <c r="N2197">
        <v>0</v>
      </c>
      <c r="O2197" s="1">
        <v>45582.468472222223</v>
      </c>
      <c r="P2197" t="s">
        <v>392</v>
      </c>
    </row>
    <row r="2198" spans="1:16" x14ac:dyDescent="0.3">
      <c r="A2198" t="s">
        <v>25</v>
      </c>
      <c r="B2198" s="1">
        <v>45582.468472222223</v>
      </c>
      <c r="C2198" t="str">
        <f t="shared" si="423"/>
        <v>41</v>
      </c>
      <c r="D2198" t="s">
        <v>120</v>
      </c>
      <c r="E2198" t="s">
        <v>116</v>
      </c>
      <c r="F2198" t="s">
        <v>117</v>
      </c>
      <c r="H2198" t="s">
        <v>630</v>
      </c>
      <c r="I2198" t="str">
        <f>"101050002003735"</f>
        <v>101050002003735</v>
      </c>
      <c r="J2198" t="str">
        <f t="shared" si="424"/>
        <v>514483</v>
      </c>
      <c r="K2198" t="s">
        <v>84</v>
      </c>
      <c r="L2198">
        <v>49</v>
      </c>
      <c r="M2198">
        <v>49</v>
      </c>
      <c r="N2198">
        <v>0</v>
      </c>
      <c r="O2198" s="1">
        <v>45582.468472222223</v>
      </c>
      <c r="P2198" t="s">
        <v>392</v>
      </c>
    </row>
    <row r="2199" spans="1:16" x14ac:dyDescent="0.3">
      <c r="A2199" t="s">
        <v>25</v>
      </c>
      <c r="B2199" s="1">
        <v>45582.468472222223</v>
      </c>
      <c r="C2199" t="str">
        <f t="shared" si="423"/>
        <v>41</v>
      </c>
      <c r="D2199" t="s">
        <v>120</v>
      </c>
      <c r="E2199" t="s">
        <v>116</v>
      </c>
      <c r="F2199" t="s">
        <v>117</v>
      </c>
      <c r="H2199" t="s">
        <v>630</v>
      </c>
      <c r="I2199" t="str">
        <f>"101050002003290"</f>
        <v>101050002003290</v>
      </c>
      <c r="J2199" t="str">
        <f t="shared" si="424"/>
        <v>514483</v>
      </c>
      <c r="K2199" t="s">
        <v>84</v>
      </c>
      <c r="L2199">
        <v>49</v>
      </c>
      <c r="M2199">
        <v>49</v>
      </c>
      <c r="N2199">
        <v>0</v>
      </c>
      <c r="O2199" s="1">
        <v>45582.468472222223</v>
      </c>
      <c r="P2199" t="s">
        <v>392</v>
      </c>
    </row>
    <row r="2200" spans="1:16" x14ac:dyDescent="0.3">
      <c r="A2200" t="s">
        <v>25</v>
      </c>
      <c r="B2200" s="1">
        <v>45582.468472222223</v>
      </c>
      <c r="C2200" t="str">
        <f t="shared" si="423"/>
        <v>41</v>
      </c>
      <c r="D2200" t="s">
        <v>120</v>
      </c>
      <c r="E2200" t="s">
        <v>116</v>
      </c>
      <c r="F2200" t="s">
        <v>117</v>
      </c>
      <c r="H2200" t="s">
        <v>630</v>
      </c>
      <c r="I2200" t="str">
        <f>"101050002003631"</f>
        <v>101050002003631</v>
      </c>
      <c r="J2200" t="str">
        <f t="shared" si="424"/>
        <v>514483</v>
      </c>
      <c r="K2200" t="s">
        <v>84</v>
      </c>
      <c r="L2200">
        <v>49</v>
      </c>
      <c r="M2200">
        <v>49</v>
      </c>
      <c r="N2200">
        <v>0</v>
      </c>
      <c r="O2200" s="1">
        <v>45582.468472222223</v>
      </c>
      <c r="P2200" t="s">
        <v>392</v>
      </c>
    </row>
    <row r="2201" spans="1:16" x14ac:dyDescent="0.3">
      <c r="A2201" t="s">
        <v>25</v>
      </c>
      <c r="B2201" s="1">
        <v>45582.468275462961</v>
      </c>
      <c r="C2201" t="str">
        <f>"38"</f>
        <v>38</v>
      </c>
      <c r="D2201" t="s">
        <v>115</v>
      </c>
      <c r="E2201" t="s">
        <v>116</v>
      </c>
      <c r="F2201" t="s">
        <v>117</v>
      </c>
      <c r="H2201" t="s">
        <v>631</v>
      </c>
      <c r="L2201">
        <v>0</v>
      </c>
      <c r="M2201">
        <v>0</v>
      </c>
      <c r="N2201">
        <v>0</v>
      </c>
      <c r="O2201" s="1">
        <v>45582.468275462961</v>
      </c>
      <c r="P2201" t="s">
        <v>138</v>
      </c>
    </row>
    <row r="2202" spans="1:16" x14ac:dyDescent="0.3">
      <c r="A2202" t="s">
        <v>25</v>
      </c>
      <c r="B2202" s="1">
        <v>45582.468275462961</v>
      </c>
      <c r="C2202" t="str">
        <f t="shared" ref="C2202:C2208" si="425">"41"</f>
        <v>41</v>
      </c>
      <c r="D2202" t="s">
        <v>120</v>
      </c>
      <c r="E2202" t="s">
        <v>116</v>
      </c>
      <c r="F2202" t="s">
        <v>117</v>
      </c>
      <c r="H2202" t="s">
        <v>631</v>
      </c>
      <c r="I2202" t="str">
        <f>"101050002014055"</f>
        <v>101050002014055</v>
      </c>
      <c r="J2202" t="str">
        <f t="shared" ref="J2202:J2208" si="426">"31090"</f>
        <v>31090</v>
      </c>
      <c r="K2202" t="s">
        <v>76</v>
      </c>
      <c r="L2202">
        <v>49</v>
      </c>
      <c r="M2202">
        <v>49</v>
      </c>
      <c r="N2202">
        <v>0</v>
      </c>
      <c r="O2202" s="1">
        <v>45582.468275462961</v>
      </c>
      <c r="P2202" t="s">
        <v>138</v>
      </c>
    </row>
    <row r="2203" spans="1:16" x14ac:dyDescent="0.3">
      <c r="A2203" t="s">
        <v>25</v>
      </c>
      <c r="B2203" s="1">
        <v>45582.468275462961</v>
      </c>
      <c r="C2203" t="str">
        <f t="shared" si="425"/>
        <v>41</v>
      </c>
      <c r="D2203" t="s">
        <v>120</v>
      </c>
      <c r="E2203" t="s">
        <v>116</v>
      </c>
      <c r="F2203" t="s">
        <v>117</v>
      </c>
      <c r="H2203" t="s">
        <v>631</v>
      </c>
      <c r="I2203" t="str">
        <f>"101050002014809"</f>
        <v>101050002014809</v>
      </c>
      <c r="J2203" t="str">
        <f t="shared" si="426"/>
        <v>31090</v>
      </c>
      <c r="K2203" t="s">
        <v>76</v>
      </c>
      <c r="L2203">
        <v>49</v>
      </c>
      <c r="M2203">
        <v>49</v>
      </c>
      <c r="N2203">
        <v>0</v>
      </c>
      <c r="O2203" s="1">
        <v>45582.468275462961</v>
      </c>
      <c r="P2203" t="s">
        <v>138</v>
      </c>
    </row>
    <row r="2204" spans="1:16" x14ac:dyDescent="0.3">
      <c r="A2204" t="s">
        <v>25</v>
      </c>
      <c r="B2204" s="1">
        <v>45582.468275462961</v>
      </c>
      <c r="C2204" t="str">
        <f t="shared" si="425"/>
        <v>41</v>
      </c>
      <c r="D2204" t="s">
        <v>120</v>
      </c>
      <c r="E2204" t="s">
        <v>116</v>
      </c>
      <c r="F2204" t="s">
        <v>117</v>
      </c>
      <c r="H2204" t="s">
        <v>631</v>
      </c>
      <c r="I2204" t="str">
        <f>"101050002014054"</f>
        <v>101050002014054</v>
      </c>
      <c r="J2204" t="str">
        <f t="shared" si="426"/>
        <v>31090</v>
      </c>
      <c r="K2204" t="s">
        <v>76</v>
      </c>
      <c r="L2204">
        <v>49</v>
      </c>
      <c r="M2204">
        <v>49</v>
      </c>
      <c r="N2204">
        <v>0</v>
      </c>
      <c r="O2204" s="1">
        <v>45582.468275462961</v>
      </c>
      <c r="P2204" t="s">
        <v>138</v>
      </c>
    </row>
    <row r="2205" spans="1:16" x14ac:dyDescent="0.3">
      <c r="A2205" t="s">
        <v>25</v>
      </c>
      <c r="B2205" s="1">
        <v>45582.468275462961</v>
      </c>
      <c r="C2205" t="str">
        <f t="shared" si="425"/>
        <v>41</v>
      </c>
      <c r="D2205" t="s">
        <v>120</v>
      </c>
      <c r="E2205" t="s">
        <v>116</v>
      </c>
      <c r="F2205" t="s">
        <v>117</v>
      </c>
      <c r="H2205" t="s">
        <v>631</v>
      </c>
      <c r="I2205" t="str">
        <f>"101050002014056"</f>
        <v>101050002014056</v>
      </c>
      <c r="J2205" t="str">
        <f t="shared" si="426"/>
        <v>31090</v>
      </c>
      <c r="K2205" t="s">
        <v>76</v>
      </c>
      <c r="L2205">
        <v>49</v>
      </c>
      <c r="M2205">
        <v>49</v>
      </c>
      <c r="N2205">
        <v>0</v>
      </c>
      <c r="O2205" s="1">
        <v>45582.468275462961</v>
      </c>
      <c r="P2205" t="s">
        <v>138</v>
      </c>
    </row>
    <row r="2206" spans="1:16" x14ac:dyDescent="0.3">
      <c r="A2206" t="s">
        <v>25</v>
      </c>
      <c r="B2206" s="1">
        <v>45582.468263888892</v>
      </c>
      <c r="C2206" t="str">
        <f t="shared" si="425"/>
        <v>41</v>
      </c>
      <c r="D2206" t="s">
        <v>120</v>
      </c>
      <c r="E2206" t="s">
        <v>116</v>
      </c>
      <c r="F2206" t="s">
        <v>117</v>
      </c>
      <c r="H2206" t="s">
        <v>631</v>
      </c>
      <c r="I2206" t="str">
        <f>"101050002013998"</f>
        <v>101050002013998</v>
      </c>
      <c r="J2206" t="str">
        <f t="shared" si="426"/>
        <v>31090</v>
      </c>
      <c r="K2206" t="s">
        <v>76</v>
      </c>
      <c r="L2206">
        <v>49</v>
      </c>
      <c r="M2206">
        <v>49</v>
      </c>
      <c r="N2206">
        <v>0</v>
      </c>
      <c r="O2206" s="1">
        <v>45582.468263888892</v>
      </c>
      <c r="P2206" t="s">
        <v>138</v>
      </c>
    </row>
    <row r="2207" spans="1:16" x14ac:dyDescent="0.3">
      <c r="A2207" t="s">
        <v>25</v>
      </c>
      <c r="B2207" s="1">
        <v>45582.468263888892</v>
      </c>
      <c r="C2207" t="str">
        <f t="shared" si="425"/>
        <v>41</v>
      </c>
      <c r="D2207" t="s">
        <v>120</v>
      </c>
      <c r="E2207" t="s">
        <v>116</v>
      </c>
      <c r="F2207" t="s">
        <v>117</v>
      </c>
      <c r="H2207" t="s">
        <v>631</v>
      </c>
      <c r="I2207" t="str">
        <f>"101050002013996"</f>
        <v>101050002013996</v>
      </c>
      <c r="J2207" t="str">
        <f t="shared" si="426"/>
        <v>31090</v>
      </c>
      <c r="K2207" t="s">
        <v>76</v>
      </c>
      <c r="L2207">
        <v>49</v>
      </c>
      <c r="M2207">
        <v>49</v>
      </c>
      <c r="N2207">
        <v>0</v>
      </c>
      <c r="O2207" s="1">
        <v>45582.468263888892</v>
      </c>
      <c r="P2207" t="s">
        <v>138</v>
      </c>
    </row>
    <row r="2208" spans="1:16" x14ac:dyDescent="0.3">
      <c r="A2208" t="s">
        <v>25</v>
      </c>
      <c r="B2208" s="1">
        <v>45582.468263888892</v>
      </c>
      <c r="C2208" t="str">
        <f t="shared" si="425"/>
        <v>41</v>
      </c>
      <c r="D2208" t="s">
        <v>120</v>
      </c>
      <c r="E2208" t="s">
        <v>116</v>
      </c>
      <c r="F2208" t="s">
        <v>117</v>
      </c>
      <c r="H2208" t="s">
        <v>631</v>
      </c>
      <c r="I2208" t="str">
        <f>"101050002014000"</f>
        <v>101050002014000</v>
      </c>
      <c r="J2208" t="str">
        <f t="shared" si="426"/>
        <v>31090</v>
      </c>
      <c r="K2208" t="s">
        <v>76</v>
      </c>
      <c r="L2208">
        <v>49</v>
      </c>
      <c r="M2208">
        <v>49</v>
      </c>
      <c r="N2208">
        <v>0</v>
      </c>
      <c r="O2208" s="1">
        <v>45582.468263888892</v>
      </c>
      <c r="P2208" t="s">
        <v>138</v>
      </c>
    </row>
    <row r="2209" spans="1:16" x14ac:dyDescent="0.3">
      <c r="A2209" t="s">
        <v>25</v>
      </c>
      <c r="B2209" s="1">
        <v>45582.46539351852</v>
      </c>
      <c r="C2209" t="str">
        <f>"38"</f>
        <v>38</v>
      </c>
      <c r="D2209" t="s">
        <v>115</v>
      </c>
      <c r="E2209" t="s">
        <v>116</v>
      </c>
      <c r="F2209" t="s">
        <v>117</v>
      </c>
      <c r="H2209" t="s">
        <v>632</v>
      </c>
      <c r="L2209">
        <v>0</v>
      </c>
      <c r="M2209">
        <v>0</v>
      </c>
      <c r="N2209">
        <v>0</v>
      </c>
      <c r="O2209" s="1">
        <v>45582.46539351852</v>
      </c>
      <c r="P2209" t="s">
        <v>392</v>
      </c>
    </row>
    <row r="2210" spans="1:16" x14ac:dyDescent="0.3">
      <c r="A2210" t="s">
        <v>25</v>
      </c>
      <c r="B2210" s="1">
        <v>45582.46539351852</v>
      </c>
      <c r="C2210" t="str">
        <f>"41"</f>
        <v>41</v>
      </c>
      <c r="D2210" t="s">
        <v>120</v>
      </c>
      <c r="E2210" t="s">
        <v>116</v>
      </c>
      <c r="F2210" t="s">
        <v>117</v>
      </c>
      <c r="H2210" t="s">
        <v>632</v>
      </c>
      <c r="I2210" t="str">
        <f>"101050002017893"</f>
        <v>101050002017893</v>
      </c>
      <c r="J2210" t="str">
        <f>"126736"</f>
        <v>126736</v>
      </c>
      <c r="K2210" t="s">
        <v>52</v>
      </c>
      <c r="L2210">
        <v>49</v>
      </c>
      <c r="M2210">
        <v>49</v>
      </c>
      <c r="N2210">
        <v>0</v>
      </c>
      <c r="O2210" s="1">
        <v>45582.46539351852</v>
      </c>
      <c r="P2210" t="s">
        <v>392</v>
      </c>
    </row>
    <row r="2211" spans="1:16" x14ac:dyDescent="0.3">
      <c r="A2211" t="s">
        <v>25</v>
      </c>
      <c r="B2211" s="1">
        <v>45582.464918981481</v>
      </c>
      <c r="C2211" t="str">
        <f>"38"</f>
        <v>38</v>
      </c>
      <c r="D2211" t="s">
        <v>115</v>
      </c>
      <c r="E2211" t="s">
        <v>116</v>
      </c>
      <c r="F2211" t="s">
        <v>117</v>
      </c>
      <c r="H2211" t="s">
        <v>633</v>
      </c>
      <c r="L2211">
        <v>0</v>
      </c>
      <c r="M2211">
        <v>0</v>
      </c>
      <c r="N2211">
        <v>0</v>
      </c>
      <c r="O2211" s="1">
        <v>45582.464918981481</v>
      </c>
      <c r="P2211" t="s">
        <v>122</v>
      </c>
    </row>
    <row r="2212" spans="1:16" x14ac:dyDescent="0.3">
      <c r="A2212" t="s">
        <v>25</v>
      </c>
      <c r="B2212" s="1">
        <v>45582.464907407404</v>
      </c>
      <c r="C2212" t="str">
        <f>"41"</f>
        <v>41</v>
      </c>
      <c r="D2212" t="s">
        <v>120</v>
      </c>
      <c r="E2212" t="s">
        <v>116</v>
      </c>
      <c r="F2212" t="s">
        <v>117</v>
      </c>
      <c r="H2212" t="s">
        <v>633</v>
      </c>
      <c r="I2212" t="str">
        <f>"101570001111169"</f>
        <v>101570001111169</v>
      </c>
      <c r="J2212" t="str">
        <f>"126312"</f>
        <v>126312</v>
      </c>
      <c r="K2212" t="s">
        <v>44</v>
      </c>
      <c r="L2212">
        <v>49</v>
      </c>
      <c r="M2212">
        <v>49</v>
      </c>
      <c r="N2212">
        <v>0</v>
      </c>
      <c r="O2212" s="1">
        <v>45582.464907407404</v>
      </c>
      <c r="P2212" t="s">
        <v>122</v>
      </c>
    </row>
    <row r="2213" spans="1:16" x14ac:dyDescent="0.3">
      <c r="A2213" t="s">
        <v>25</v>
      </c>
      <c r="B2213" s="1">
        <v>45582.464907407404</v>
      </c>
      <c r="C2213" t="str">
        <f>"41"</f>
        <v>41</v>
      </c>
      <c r="D2213" t="s">
        <v>120</v>
      </c>
      <c r="E2213" t="s">
        <v>116</v>
      </c>
      <c r="F2213" t="s">
        <v>117</v>
      </c>
      <c r="H2213" t="s">
        <v>633</v>
      </c>
      <c r="I2213" t="str">
        <f>"101570001111168"</f>
        <v>101570001111168</v>
      </c>
      <c r="J2213" t="str">
        <f>"126312"</f>
        <v>126312</v>
      </c>
      <c r="K2213" t="s">
        <v>44</v>
      </c>
      <c r="L2213">
        <v>49</v>
      </c>
      <c r="M2213">
        <v>49</v>
      </c>
      <c r="N2213">
        <v>0</v>
      </c>
      <c r="O2213" s="1">
        <v>45582.464907407404</v>
      </c>
      <c r="P2213" t="s">
        <v>122</v>
      </c>
    </row>
    <row r="2214" spans="1:16" x14ac:dyDescent="0.3">
      <c r="A2214" t="s">
        <v>25</v>
      </c>
      <c r="B2214" s="1">
        <v>45582.464907407404</v>
      </c>
      <c r="C2214" t="str">
        <f>"41"</f>
        <v>41</v>
      </c>
      <c r="D2214" t="s">
        <v>120</v>
      </c>
      <c r="E2214" t="s">
        <v>116</v>
      </c>
      <c r="F2214" t="s">
        <v>117</v>
      </c>
      <c r="H2214" t="s">
        <v>633</v>
      </c>
      <c r="I2214" t="str">
        <f>"101570001111166"</f>
        <v>101570001111166</v>
      </c>
      <c r="J2214" t="str">
        <f>"126312"</f>
        <v>126312</v>
      </c>
      <c r="K2214" t="s">
        <v>44</v>
      </c>
      <c r="L2214">
        <v>49</v>
      </c>
      <c r="M2214">
        <v>49</v>
      </c>
      <c r="N2214">
        <v>0</v>
      </c>
      <c r="O2214" s="1">
        <v>45582.464907407404</v>
      </c>
      <c r="P2214" t="s">
        <v>122</v>
      </c>
    </row>
    <row r="2215" spans="1:16" x14ac:dyDescent="0.3">
      <c r="A2215" t="s">
        <v>25</v>
      </c>
      <c r="B2215" s="1">
        <v>45582.464907407404</v>
      </c>
      <c r="C2215" t="str">
        <f>"41"</f>
        <v>41</v>
      </c>
      <c r="D2215" t="s">
        <v>120</v>
      </c>
      <c r="E2215" t="s">
        <v>116</v>
      </c>
      <c r="F2215" t="s">
        <v>117</v>
      </c>
      <c r="H2215" t="s">
        <v>633</v>
      </c>
      <c r="I2215" t="str">
        <f>"101570001110720"</f>
        <v>101570001110720</v>
      </c>
      <c r="J2215" t="str">
        <f>"126312"</f>
        <v>126312</v>
      </c>
      <c r="K2215" t="s">
        <v>44</v>
      </c>
      <c r="L2215">
        <v>49</v>
      </c>
      <c r="M2215">
        <v>49</v>
      </c>
      <c r="N2215">
        <v>0</v>
      </c>
      <c r="O2215" s="1">
        <v>45582.464907407404</v>
      </c>
      <c r="P2215" t="s">
        <v>122</v>
      </c>
    </row>
    <row r="2216" spans="1:16" x14ac:dyDescent="0.3">
      <c r="A2216" t="s">
        <v>25</v>
      </c>
      <c r="B2216" s="1">
        <v>45582.464907407404</v>
      </c>
      <c r="C2216" t="str">
        <f>"41"</f>
        <v>41</v>
      </c>
      <c r="D2216" t="s">
        <v>120</v>
      </c>
      <c r="E2216" t="s">
        <v>116</v>
      </c>
      <c r="F2216" t="s">
        <v>117</v>
      </c>
      <c r="H2216" t="s">
        <v>633</v>
      </c>
      <c r="I2216" t="str">
        <f>"101570001110702"</f>
        <v>101570001110702</v>
      </c>
      <c r="J2216" t="str">
        <f>"126312"</f>
        <v>126312</v>
      </c>
      <c r="K2216" t="s">
        <v>44</v>
      </c>
      <c r="L2216">
        <v>49</v>
      </c>
      <c r="M2216">
        <v>49</v>
      </c>
      <c r="N2216">
        <v>0</v>
      </c>
      <c r="O2216" s="1">
        <v>45582.464907407404</v>
      </c>
      <c r="P2216" t="s">
        <v>122</v>
      </c>
    </row>
    <row r="2217" spans="1:16" x14ac:dyDescent="0.3">
      <c r="A2217" t="s">
        <v>25</v>
      </c>
      <c r="B2217" s="1">
        <v>45582.465127314812</v>
      </c>
      <c r="C2217" t="str">
        <f>"38"</f>
        <v>38</v>
      </c>
      <c r="D2217" t="s">
        <v>115</v>
      </c>
      <c r="E2217" t="s">
        <v>116</v>
      </c>
      <c r="F2217" t="s">
        <v>117</v>
      </c>
      <c r="H2217" t="s">
        <v>634</v>
      </c>
      <c r="L2217">
        <v>0</v>
      </c>
      <c r="M2217">
        <v>0</v>
      </c>
      <c r="N2217">
        <v>0</v>
      </c>
      <c r="O2217" s="1">
        <v>45582.465127314812</v>
      </c>
      <c r="P2217" t="s">
        <v>392</v>
      </c>
    </row>
    <row r="2218" spans="1:16" x14ac:dyDescent="0.3">
      <c r="A2218" t="s">
        <v>25</v>
      </c>
      <c r="B2218" s="1">
        <v>45582.465127314812</v>
      </c>
      <c r="C2218" t="str">
        <f t="shared" ref="C2218:C2224" si="427">"41"</f>
        <v>41</v>
      </c>
      <c r="D2218" t="s">
        <v>120</v>
      </c>
      <c r="E2218" t="s">
        <v>116</v>
      </c>
      <c r="F2218" t="s">
        <v>117</v>
      </c>
      <c r="H2218" t="s">
        <v>634</v>
      </c>
      <c r="I2218" t="str">
        <f>"101050002025272"</f>
        <v>101050002025272</v>
      </c>
      <c r="J2218" t="str">
        <f t="shared" ref="J2218:J2224" si="428">"514866"</f>
        <v>514866</v>
      </c>
      <c r="K2218" t="s">
        <v>14</v>
      </c>
      <c r="L2218">
        <v>49</v>
      </c>
      <c r="M2218">
        <v>49</v>
      </c>
      <c r="N2218">
        <v>0</v>
      </c>
      <c r="O2218" s="1">
        <v>45582.465127314812</v>
      </c>
      <c r="P2218" t="s">
        <v>392</v>
      </c>
    </row>
    <row r="2219" spans="1:16" x14ac:dyDescent="0.3">
      <c r="A2219" t="s">
        <v>25</v>
      </c>
      <c r="B2219" s="1">
        <v>45582.465115740742</v>
      </c>
      <c r="C2219" t="str">
        <f t="shared" si="427"/>
        <v>41</v>
      </c>
      <c r="D2219" t="s">
        <v>120</v>
      </c>
      <c r="E2219" t="s">
        <v>116</v>
      </c>
      <c r="F2219" t="s">
        <v>117</v>
      </c>
      <c r="H2219" t="s">
        <v>634</v>
      </c>
      <c r="I2219" t="str">
        <f>"101050002017356"</f>
        <v>101050002017356</v>
      </c>
      <c r="J2219" t="str">
        <f t="shared" si="428"/>
        <v>514866</v>
      </c>
      <c r="K2219" t="s">
        <v>14</v>
      </c>
      <c r="L2219">
        <v>49</v>
      </c>
      <c r="M2219">
        <v>49</v>
      </c>
      <c r="N2219">
        <v>0</v>
      </c>
      <c r="O2219" s="1">
        <v>45582.465115740742</v>
      </c>
      <c r="P2219" t="s">
        <v>392</v>
      </c>
    </row>
    <row r="2220" spans="1:16" x14ac:dyDescent="0.3">
      <c r="A2220" t="s">
        <v>25</v>
      </c>
      <c r="B2220" s="1">
        <v>45582.465115740742</v>
      </c>
      <c r="C2220" t="str">
        <f t="shared" si="427"/>
        <v>41</v>
      </c>
      <c r="D2220" t="s">
        <v>120</v>
      </c>
      <c r="E2220" t="s">
        <v>116</v>
      </c>
      <c r="F2220" t="s">
        <v>117</v>
      </c>
      <c r="H2220" t="s">
        <v>634</v>
      </c>
      <c r="I2220" t="str">
        <f>"101050002024368"</f>
        <v>101050002024368</v>
      </c>
      <c r="J2220" t="str">
        <f t="shared" si="428"/>
        <v>514866</v>
      </c>
      <c r="K2220" t="s">
        <v>14</v>
      </c>
      <c r="L2220">
        <v>49</v>
      </c>
      <c r="M2220">
        <v>49</v>
      </c>
      <c r="N2220">
        <v>0</v>
      </c>
      <c r="O2220" s="1">
        <v>45582.465115740742</v>
      </c>
      <c r="P2220" t="s">
        <v>392</v>
      </c>
    </row>
    <row r="2221" spans="1:16" x14ac:dyDescent="0.3">
      <c r="A2221" t="s">
        <v>25</v>
      </c>
      <c r="B2221" s="1">
        <v>45582.465115740742</v>
      </c>
      <c r="C2221" t="str">
        <f t="shared" si="427"/>
        <v>41</v>
      </c>
      <c r="D2221" t="s">
        <v>120</v>
      </c>
      <c r="E2221" t="s">
        <v>116</v>
      </c>
      <c r="F2221" t="s">
        <v>117</v>
      </c>
      <c r="H2221" t="s">
        <v>634</v>
      </c>
      <c r="I2221" t="str">
        <f>"101620000457567"</f>
        <v>101620000457567</v>
      </c>
      <c r="J2221" t="str">
        <f t="shared" si="428"/>
        <v>514866</v>
      </c>
      <c r="K2221" t="s">
        <v>14</v>
      </c>
      <c r="L2221">
        <v>49</v>
      </c>
      <c r="M2221">
        <v>49</v>
      </c>
      <c r="N2221">
        <v>0</v>
      </c>
      <c r="O2221" s="1">
        <v>45582.465115740742</v>
      </c>
      <c r="P2221" t="s">
        <v>392</v>
      </c>
    </row>
    <row r="2222" spans="1:16" x14ac:dyDescent="0.3">
      <c r="A2222" t="s">
        <v>25</v>
      </c>
      <c r="B2222" s="1">
        <v>45582.465115740742</v>
      </c>
      <c r="C2222" t="str">
        <f t="shared" si="427"/>
        <v>41</v>
      </c>
      <c r="D2222" t="s">
        <v>120</v>
      </c>
      <c r="E2222" t="s">
        <v>116</v>
      </c>
      <c r="F2222" t="s">
        <v>117</v>
      </c>
      <c r="H2222" t="s">
        <v>634</v>
      </c>
      <c r="I2222" t="str">
        <f>"101620000457317"</f>
        <v>101620000457317</v>
      </c>
      <c r="J2222" t="str">
        <f t="shared" si="428"/>
        <v>514866</v>
      </c>
      <c r="K2222" t="s">
        <v>14</v>
      </c>
      <c r="L2222">
        <v>49</v>
      </c>
      <c r="M2222">
        <v>49</v>
      </c>
      <c r="N2222">
        <v>0</v>
      </c>
      <c r="O2222" s="1">
        <v>45582.465115740742</v>
      </c>
      <c r="P2222" t="s">
        <v>392</v>
      </c>
    </row>
    <row r="2223" spans="1:16" x14ac:dyDescent="0.3">
      <c r="A2223" t="s">
        <v>25</v>
      </c>
      <c r="B2223" s="1">
        <v>45582.465115740742</v>
      </c>
      <c r="C2223" t="str">
        <f t="shared" si="427"/>
        <v>41</v>
      </c>
      <c r="D2223" t="s">
        <v>120</v>
      </c>
      <c r="E2223" t="s">
        <v>116</v>
      </c>
      <c r="F2223" t="s">
        <v>117</v>
      </c>
      <c r="H2223" t="s">
        <v>634</v>
      </c>
      <c r="I2223" t="str">
        <f>"101620000457553"</f>
        <v>101620000457553</v>
      </c>
      <c r="J2223" t="str">
        <f t="shared" si="428"/>
        <v>514866</v>
      </c>
      <c r="K2223" t="s">
        <v>14</v>
      </c>
      <c r="L2223">
        <v>49</v>
      </c>
      <c r="M2223">
        <v>49</v>
      </c>
      <c r="N2223">
        <v>0</v>
      </c>
      <c r="O2223" s="1">
        <v>45582.465115740742</v>
      </c>
      <c r="P2223" t="s">
        <v>392</v>
      </c>
    </row>
    <row r="2224" spans="1:16" x14ac:dyDescent="0.3">
      <c r="A2224" t="s">
        <v>25</v>
      </c>
      <c r="B2224" s="1">
        <v>45582.465115740742</v>
      </c>
      <c r="C2224" t="str">
        <f t="shared" si="427"/>
        <v>41</v>
      </c>
      <c r="D2224" t="s">
        <v>120</v>
      </c>
      <c r="E2224" t="s">
        <v>116</v>
      </c>
      <c r="F2224" t="s">
        <v>117</v>
      </c>
      <c r="H2224" t="s">
        <v>634</v>
      </c>
      <c r="I2224" t="str">
        <f>"101620000457552"</f>
        <v>101620000457552</v>
      </c>
      <c r="J2224" t="str">
        <f t="shared" si="428"/>
        <v>514866</v>
      </c>
      <c r="K2224" t="s">
        <v>14</v>
      </c>
      <c r="L2224">
        <v>49</v>
      </c>
      <c r="M2224">
        <v>49</v>
      </c>
      <c r="N2224">
        <v>0</v>
      </c>
      <c r="O2224" s="1">
        <v>45582.465115740742</v>
      </c>
      <c r="P2224" t="s">
        <v>392</v>
      </c>
    </row>
    <row r="2225" spans="1:16" x14ac:dyDescent="0.3">
      <c r="A2225" t="s">
        <v>25</v>
      </c>
      <c r="B2225" s="1">
        <v>45582.463171296295</v>
      </c>
      <c r="C2225" t="str">
        <f>"38"</f>
        <v>38</v>
      </c>
      <c r="D2225" t="s">
        <v>115</v>
      </c>
      <c r="E2225" t="s">
        <v>116</v>
      </c>
      <c r="F2225" t="s">
        <v>117</v>
      </c>
      <c r="H2225" t="s">
        <v>635</v>
      </c>
      <c r="L2225">
        <v>0</v>
      </c>
      <c r="M2225">
        <v>0</v>
      </c>
      <c r="N2225">
        <v>0</v>
      </c>
      <c r="O2225" s="1">
        <v>45582.463171296295</v>
      </c>
      <c r="P2225" t="s">
        <v>122</v>
      </c>
    </row>
    <row r="2226" spans="1:16" x14ac:dyDescent="0.3">
      <c r="A2226" t="s">
        <v>25</v>
      </c>
      <c r="B2226" s="1">
        <v>45582.463171296295</v>
      </c>
      <c r="C2226" t="str">
        <f>"41"</f>
        <v>41</v>
      </c>
      <c r="D2226" t="s">
        <v>120</v>
      </c>
      <c r="E2226" t="s">
        <v>116</v>
      </c>
      <c r="F2226" t="s">
        <v>117</v>
      </c>
      <c r="H2226" t="s">
        <v>635</v>
      </c>
      <c r="I2226" t="str">
        <f>"101050001927880"</f>
        <v>101050001927880</v>
      </c>
      <c r="J2226" t="str">
        <f>"125192"</f>
        <v>125192</v>
      </c>
      <c r="K2226" t="s">
        <v>42</v>
      </c>
      <c r="L2226">
        <v>49</v>
      </c>
      <c r="M2226">
        <v>49</v>
      </c>
      <c r="N2226">
        <v>0</v>
      </c>
      <c r="O2226" s="1">
        <v>45582.463171296295</v>
      </c>
      <c r="P2226" t="s">
        <v>122</v>
      </c>
    </row>
    <row r="2227" spans="1:16" x14ac:dyDescent="0.3">
      <c r="A2227" t="s">
        <v>25</v>
      </c>
      <c r="B2227" s="1">
        <v>45582.463159722225</v>
      </c>
      <c r="C2227" t="str">
        <f>"41"</f>
        <v>41</v>
      </c>
      <c r="D2227" t="s">
        <v>120</v>
      </c>
      <c r="E2227" t="s">
        <v>116</v>
      </c>
      <c r="F2227" t="s">
        <v>117</v>
      </c>
      <c r="H2227" t="s">
        <v>635</v>
      </c>
      <c r="I2227" t="str">
        <f>"101050001927141"</f>
        <v>101050001927141</v>
      </c>
      <c r="J2227" t="str">
        <f>"125192"</f>
        <v>125192</v>
      </c>
      <c r="K2227" t="s">
        <v>42</v>
      </c>
      <c r="L2227">
        <v>49</v>
      </c>
      <c r="M2227">
        <v>49</v>
      </c>
      <c r="N2227">
        <v>0</v>
      </c>
      <c r="O2227" s="1">
        <v>45582.463159722225</v>
      </c>
      <c r="P2227" t="s">
        <v>122</v>
      </c>
    </row>
    <row r="2228" spans="1:16" x14ac:dyDescent="0.3">
      <c r="A2228" t="s">
        <v>25</v>
      </c>
      <c r="B2228" s="1">
        <v>45582.463159722225</v>
      </c>
      <c r="C2228" t="str">
        <f>"41"</f>
        <v>41</v>
      </c>
      <c r="D2228" t="s">
        <v>120</v>
      </c>
      <c r="E2228" t="s">
        <v>116</v>
      </c>
      <c r="F2228" t="s">
        <v>117</v>
      </c>
      <c r="H2228" t="s">
        <v>635</v>
      </c>
      <c r="I2228" t="str">
        <f>"101050001911311"</f>
        <v>101050001911311</v>
      </c>
      <c r="J2228" t="str">
        <f>"125192"</f>
        <v>125192</v>
      </c>
      <c r="K2228" t="s">
        <v>42</v>
      </c>
      <c r="L2228">
        <v>49</v>
      </c>
      <c r="M2228">
        <v>49</v>
      </c>
      <c r="N2228">
        <v>0</v>
      </c>
      <c r="O2228" s="1">
        <v>45582.463159722225</v>
      </c>
      <c r="P2228" t="s">
        <v>122</v>
      </c>
    </row>
    <row r="2229" spans="1:16" x14ac:dyDescent="0.3">
      <c r="A2229" t="s">
        <v>25</v>
      </c>
      <c r="B2229" s="1">
        <v>45582.463159722225</v>
      </c>
      <c r="C2229" t="str">
        <f>"41"</f>
        <v>41</v>
      </c>
      <c r="D2229" t="s">
        <v>120</v>
      </c>
      <c r="E2229" t="s">
        <v>116</v>
      </c>
      <c r="F2229" t="s">
        <v>117</v>
      </c>
      <c r="H2229" t="s">
        <v>635</v>
      </c>
      <c r="I2229" t="str">
        <f>"101050001911130"</f>
        <v>101050001911130</v>
      </c>
      <c r="J2229" t="str">
        <f>"125192"</f>
        <v>125192</v>
      </c>
      <c r="K2229" t="s">
        <v>42</v>
      </c>
      <c r="L2229">
        <v>49</v>
      </c>
      <c r="M2229">
        <v>49</v>
      </c>
      <c r="N2229">
        <v>0</v>
      </c>
      <c r="O2229" s="1">
        <v>45582.463159722225</v>
      </c>
      <c r="P2229" t="s">
        <v>122</v>
      </c>
    </row>
    <row r="2230" spans="1:16" x14ac:dyDescent="0.3">
      <c r="A2230" t="s">
        <v>25</v>
      </c>
      <c r="B2230" s="1">
        <v>45582.462268518517</v>
      </c>
      <c r="C2230" t="str">
        <f>"38"</f>
        <v>38</v>
      </c>
      <c r="D2230" t="s">
        <v>115</v>
      </c>
      <c r="E2230" t="s">
        <v>116</v>
      </c>
      <c r="F2230" t="s">
        <v>117</v>
      </c>
      <c r="H2230" t="s">
        <v>636</v>
      </c>
      <c r="L2230">
        <v>0</v>
      </c>
      <c r="M2230">
        <v>0</v>
      </c>
      <c r="N2230">
        <v>0</v>
      </c>
      <c r="O2230" s="1">
        <v>45582.462268518517</v>
      </c>
      <c r="P2230" t="s">
        <v>122</v>
      </c>
    </row>
    <row r="2231" spans="1:16" x14ac:dyDescent="0.3">
      <c r="A2231" t="s">
        <v>25</v>
      </c>
      <c r="B2231" s="1">
        <v>45582.462268518517</v>
      </c>
      <c r="C2231" t="str">
        <f>"41"</f>
        <v>41</v>
      </c>
      <c r="D2231" t="s">
        <v>120</v>
      </c>
      <c r="E2231" t="s">
        <v>116</v>
      </c>
      <c r="F2231" t="s">
        <v>117</v>
      </c>
      <c r="H2231" t="s">
        <v>636</v>
      </c>
      <c r="I2231" t="str">
        <f>"101050002018199"</f>
        <v>101050002018199</v>
      </c>
      <c r="J2231" t="str">
        <f>"514480"</f>
        <v>514480</v>
      </c>
      <c r="K2231" t="s">
        <v>83</v>
      </c>
      <c r="L2231">
        <v>49</v>
      </c>
      <c r="M2231">
        <v>49</v>
      </c>
      <c r="N2231">
        <v>0</v>
      </c>
      <c r="O2231" s="1">
        <v>45582.462268518517</v>
      </c>
      <c r="P2231" t="s">
        <v>122</v>
      </c>
    </row>
    <row r="2232" spans="1:16" x14ac:dyDescent="0.3">
      <c r="A2232" t="s">
        <v>25</v>
      </c>
      <c r="B2232" s="1">
        <v>45582.462268518517</v>
      </c>
      <c r="C2232" t="str">
        <f>"41"</f>
        <v>41</v>
      </c>
      <c r="D2232" t="s">
        <v>120</v>
      </c>
      <c r="E2232" t="s">
        <v>116</v>
      </c>
      <c r="F2232" t="s">
        <v>117</v>
      </c>
      <c r="H2232" t="s">
        <v>636</v>
      </c>
      <c r="I2232" t="str">
        <f>"101050002018198"</f>
        <v>101050002018198</v>
      </c>
      <c r="J2232" t="str">
        <f>"514480"</f>
        <v>514480</v>
      </c>
      <c r="K2232" t="s">
        <v>83</v>
      </c>
      <c r="L2232">
        <v>49</v>
      </c>
      <c r="M2232">
        <v>49</v>
      </c>
      <c r="N2232">
        <v>0</v>
      </c>
      <c r="O2232" s="1">
        <v>45582.462268518517</v>
      </c>
      <c r="P2232" t="s">
        <v>122</v>
      </c>
    </row>
    <row r="2233" spans="1:16" x14ac:dyDescent="0.3">
      <c r="A2233" t="s">
        <v>25</v>
      </c>
      <c r="B2233" s="1">
        <v>45582.462268518517</v>
      </c>
      <c r="C2233" t="str">
        <f>"41"</f>
        <v>41</v>
      </c>
      <c r="D2233" t="s">
        <v>120</v>
      </c>
      <c r="E2233" t="s">
        <v>116</v>
      </c>
      <c r="F2233" t="s">
        <v>117</v>
      </c>
      <c r="H2233" t="s">
        <v>636</v>
      </c>
      <c r="I2233" t="str">
        <f>"101050001983241"</f>
        <v>101050001983241</v>
      </c>
      <c r="J2233" t="str">
        <f>"514480"</f>
        <v>514480</v>
      </c>
      <c r="K2233" t="s">
        <v>83</v>
      </c>
      <c r="L2233">
        <v>49</v>
      </c>
      <c r="M2233">
        <v>49</v>
      </c>
      <c r="N2233">
        <v>0</v>
      </c>
      <c r="O2233" s="1">
        <v>45582.462268518517</v>
      </c>
      <c r="P2233" t="s">
        <v>122</v>
      </c>
    </row>
    <row r="2234" spans="1:16" x14ac:dyDescent="0.3">
      <c r="A2234" t="s">
        <v>25</v>
      </c>
      <c r="B2234" s="1">
        <v>45582.462256944447</v>
      </c>
      <c r="C2234" t="str">
        <f>"41"</f>
        <v>41</v>
      </c>
      <c r="D2234" t="s">
        <v>120</v>
      </c>
      <c r="E2234" t="s">
        <v>116</v>
      </c>
      <c r="F2234" t="s">
        <v>117</v>
      </c>
      <c r="H2234" t="s">
        <v>636</v>
      </c>
      <c r="I2234" t="str">
        <f>"101050001982892"</f>
        <v>101050001982892</v>
      </c>
      <c r="J2234" t="str">
        <f>"514480"</f>
        <v>514480</v>
      </c>
      <c r="K2234" t="s">
        <v>83</v>
      </c>
      <c r="L2234">
        <v>49</v>
      </c>
      <c r="M2234">
        <v>49</v>
      </c>
      <c r="N2234">
        <v>0</v>
      </c>
      <c r="O2234" s="1">
        <v>45582.462256944447</v>
      </c>
      <c r="P2234" t="s">
        <v>122</v>
      </c>
    </row>
    <row r="2235" spans="1:16" x14ac:dyDescent="0.3">
      <c r="A2235" t="s">
        <v>25</v>
      </c>
      <c r="B2235" s="1">
        <v>45582.461921296293</v>
      </c>
      <c r="C2235" t="str">
        <f>"38"</f>
        <v>38</v>
      </c>
      <c r="D2235" t="s">
        <v>115</v>
      </c>
      <c r="E2235" t="s">
        <v>116</v>
      </c>
      <c r="F2235" t="s">
        <v>117</v>
      </c>
      <c r="H2235" t="s">
        <v>637</v>
      </c>
      <c r="L2235">
        <v>0</v>
      </c>
      <c r="M2235">
        <v>0</v>
      </c>
      <c r="N2235">
        <v>0</v>
      </c>
      <c r="O2235" s="1">
        <v>45582.461921296293</v>
      </c>
      <c r="P2235" t="s">
        <v>392</v>
      </c>
    </row>
    <row r="2236" spans="1:16" x14ac:dyDescent="0.3">
      <c r="A2236" t="s">
        <v>25</v>
      </c>
      <c r="B2236" s="1">
        <v>45582.461921296293</v>
      </c>
      <c r="C2236" t="str">
        <f t="shared" ref="C2236:C2242" si="429">"41"</f>
        <v>41</v>
      </c>
      <c r="D2236" t="s">
        <v>120</v>
      </c>
      <c r="E2236" t="s">
        <v>116</v>
      </c>
      <c r="F2236" t="s">
        <v>117</v>
      </c>
      <c r="H2236" t="s">
        <v>637</v>
      </c>
      <c r="I2236" t="str">
        <f>"101050002024450"</f>
        <v>101050002024450</v>
      </c>
      <c r="J2236" t="str">
        <f t="shared" ref="J2236:J2242" si="430">"514865"</f>
        <v>514865</v>
      </c>
      <c r="K2236" t="s">
        <v>92</v>
      </c>
      <c r="L2236">
        <v>49</v>
      </c>
      <c r="M2236">
        <v>49</v>
      </c>
      <c r="N2236">
        <v>0</v>
      </c>
      <c r="O2236" s="1">
        <v>45582.461921296293</v>
      </c>
      <c r="P2236" t="s">
        <v>392</v>
      </c>
    </row>
    <row r="2237" spans="1:16" x14ac:dyDescent="0.3">
      <c r="A2237" t="s">
        <v>25</v>
      </c>
      <c r="B2237" s="1">
        <v>45582.461921296293</v>
      </c>
      <c r="C2237" t="str">
        <f t="shared" si="429"/>
        <v>41</v>
      </c>
      <c r="D2237" t="s">
        <v>120</v>
      </c>
      <c r="E2237" t="s">
        <v>116</v>
      </c>
      <c r="F2237" t="s">
        <v>117</v>
      </c>
      <c r="H2237" t="s">
        <v>637</v>
      </c>
      <c r="I2237" t="str">
        <f>"101050002024399"</f>
        <v>101050002024399</v>
      </c>
      <c r="J2237" t="str">
        <f t="shared" si="430"/>
        <v>514865</v>
      </c>
      <c r="K2237" t="s">
        <v>92</v>
      </c>
      <c r="L2237">
        <v>49</v>
      </c>
      <c r="M2237">
        <v>49</v>
      </c>
      <c r="N2237">
        <v>0</v>
      </c>
      <c r="O2237" s="1">
        <v>45582.461921296293</v>
      </c>
      <c r="P2237" t="s">
        <v>392</v>
      </c>
    </row>
    <row r="2238" spans="1:16" x14ac:dyDescent="0.3">
      <c r="A2238" t="s">
        <v>25</v>
      </c>
      <c r="B2238" s="1">
        <v>45582.461921296293</v>
      </c>
      <c r="C2238" t="str">
        <f t="shared" si="429"/>
        <v>41</v>
      </c>
      <c r="D2238" t="s">
        <v>120</v>
      </c>
      <c r="E2238" t="s">
        <v>116</v>
      </c>
      <c r="F2238" t="s">
        <v>117</v>
      </c>
      <c r="H2238" t="s">
        <v>637</v>
      </c>
      <c r="I2238" t="str">
        <f>"101050002024349"</f>
        <v>101050002024349</v>
      </c>
      <c r="J2238" t="str">
        <f t="shared" si="430"/>
        <v>514865</v>
      </c>
      <c r="K2238" t="s">
        <v>92</v>
      </c>
      <c r="L2238">
        <v>49</v>
      </c>
      <c r="M2238">
        <v>49</v>
      </c>
      <c r="N2238">
        <v>0</v>
      </c>
      <c r="O2238" s="1">
        <v>45582.461921296293</v>
      </c>
      <c r="P2238" t="s">
        <v>392</v>
      </c>
    </row>
    <row r="2239" spans="1:16" x14ac:dyDescent="0.3">
      <c r="A2239" t="s">
        <v>25</v>
      </c>
      <c r="B2239" s="1">
        <v>45582.461921296293</v>
      </c>
      <c r="C2239" t="str">
        <f t="shared" si="429"/>
        <v>41</v>
      </c>
      <c r="D2239" t="s">
        <v>120</v>
      </c>
      <c r="E2239" t="s">
        <v>116</v>
      </c>
      <c r="F2239" t="s">
        <v>117</v>
      </c>
      <c r="H2239" t="s">
        <v>637</v>
      </c>
      <c r="I2239" t="str">
        <f>"101050002024112"</f>
        <v>101050002024112</v>
      </c>
      <c r="J2239" t="str">
        <f t="shared" si="430"/>
        <v>514865</v>
      </c>
      <c r="K2239" t="s">
        <v>92</v>
      </c>
      <c r="L2239">
        <v>49</v>
      </c>
      <c r="M2239">
        <v>49</v>
      </c>
      <c r="N2239">
        <v>0</v>
      </c>
      <c r="O2239" s="1">
        <v>45582.461921296293</v>
      </c>
      <c r="P2239" t="s">
        <v>392</v>
      </c>
    </row>
    <row r="2240" spans="1:16" x14ac:dyDescent="0.3">
      <c r="A2240" t="s">
        <v>25</v>
      </c>
      <c r="B2240" s="1">
        <v>45582.461921296293</v>
      </c>
      <c r="C2240" t="str">
        <f t="shared" si="429"/>
        <v>41</v>
      </c>
      <c r="D2240" t="s">
        <v>120</v>
      </c>
      <c r="E2240" t="s">
        <v>116</v>
      </c>
      <c r="F2240" t="s">
        <v>117</v>
      </c>
      <c r="H2240" t="s">
        <v>637</v>
      </c>
      <c r="I2240" t="str">
        <f>"101050002024275"</f>
        <v>101050002024275</v>
      </c>
      <c r="J2240" t="str">
        <f t="shared" si="430"/>
        <v>514865</v>
      </c>
      <c r="K2240" t="s">
        <v>92</v>
      </c>
      <c r="L2240">
        <v>49</v>
      </c>
      <c r="M2240">
        <v>49</v>
      </c>
      <c r="N2240">
        <v>0</v>
      </c>
      <c r="O2240" s="1">
        <v>45582.461921296293</v>
      </c>
      <c r="P2240" t="s">
        <v>392</v>
      </c>
    </row>
    <row r="2241" spans="1:16" x14ac:dyDescent="0.3">
      <c r="A2241" t="s">
        <v>25</v>
      </c>
      <c r="B2241" s="1">
        <v>45582.461909722224</v>
      </c>
      <c r="C2241" t="str">
        <f t="shared" si="429"/>
        <v>41</v>
      </c>
      <c r="D2241" t="s">
        <v>120</v>
      </c>
      <c r="E2241" t="s">
        <v>116</v>
      </c>
      <c r="F2241" t="s">
        <v>117</v>
      </c>
      <c r="H2241" t="s">
        <v>637</v>
      </c>
      <c r="I2241" t="str">
        <f>"101050002024465"</f>
        <v>101050002024465</v>
      </c>
      <c r="J2241" t="str">
        <f t="shared" si="430"/>
        <v>514865</v>
      </c>
      <c r="K2241" t="s">
        <v>92</v>
      </c>
      <c r="L2241">
        <v>49</v>
      </c>
      <c r="M2241">
        <v>49</v>
      </c>
      <c r="N2241">
        <v>0</v>
      </c>
      <c r="O2241" s="1">
        <v>45582.461909722224</v>
      </c>
      <c r="P2241" t="s">
        <v>392</v>
      </c>
    </row>
    <row r="2242" spans="1:16" x14ac:dyDescent="0.3">
      <c r="A2242" t="s">
        <v>25</v>
      </c>
      <c r="B2242" s="1">
        <v>45582.461909722224</v>
      </c>
      <c r="C2242" t="str">
        <f t="shared" si="429"/>
        <v>41</v>
      </c>
      <c r="D2242" t="s">
        <v>120</v>
      </c>
      <c r="E2242" t="s">
        <v>116</v>
      </c>
      <c r="F2242" t="s">
        <v>117</v>
      </c>
      <c r="H2242" t="s">
        <v>637</v>
      </c>
      <c r="I2242" t="str">
        <f>"101050002024462"</f>
        <v>101050002024462</v>
      </c>
      <c r="J2242" t="str">
        <f t="shared" si="430"/>
        <v>514865</v>
      </c>
      <c r="K2242" t="s">
        <v>92</v>
      </c>
      <c r="L2242">
        <v>49</v>
      </c>
      <c r="M2242">
        <v>49</v>
      </c>
      <c r="N2242">
        <v>0</v>
      </c>
      <c r="O2242" s="1">
        <v>45582.461909722224</v>
      </c>
      <c r="P2242" t="s">
        <v>392</v>
      </c>
    </row>
    <row r="2243" spans="1:16" x14ac:dyDescent="0.3">
      <c r="A2243" t="s">
        <v>25</v>
      </c>
      <c r="B2243" s="1">
        <v>45582.4609375</v>
      </c>
      <c r="C2243" t="str">
        <f>"38"</f>
        <v>38</v>
      </c>
      <c r="D2243" t="s">
        <v>115</v>
      </c>
      <c r="E2243" t="s">
        <v>116</v>
      </c>
      <c r="F2243" t="s">
        <v>117</v>
      </c>
      <c r="H2243" t="s">
        <v>638</v>
      </c>
      <c r="L2243">
        <v>0</v>
      </c>
      <c r="M2243">
        <v>0</v>
      </c>
      <c r="N2243">
        <v>0</v>
      </c>
      <c r="O2243" s="1">
        <v>45582.4609375</v>
      </c>
      <c r="P2243" t="s">
        <v>392</v>
      </c>
    </row>
    <row r="2244" spans="1:16" x14ac:dyDescent="0.3">
      <c r="A2244" t="s">
        <v>25</v>
      </c>
      <c r="B2244" s="1">
        <v>45582.4609375</v>
      </c>
      <c r="C2244" t="str">
        <f t="shared" ref="C2244:C2250" si="431">"41"</f>
        <v>41</v>
      </c>
      <c r="D2244" t="s">
        <v>120</v>
      </c>
      <c r="E2244" t="s">
        <v>116</v>
      </c>
      <c r="F2244" t="s">
        <v>117</v>
      </c>
      <c r="H2244" t="s">
        <v>638</v>
      </c>
      <c r="I2244" t="str">
        <f>"101050002013992"</f>
        <v>101050002013992</v>
      </c>
      <c r="J2244" t="str">
        <f t="shared" ref="J2244:J2250" si="432">"514846"</f>
        <v>514846</v>
      </c>
      <c r="K2244" t="s">
        <v>18</v>
      </c>
      <c r="L2244">
        <v>49</v>
      </c>
      <c r="M2244">
        <v>49</v>
      </c>
      <c r="N2244">
        <v>0</v>
      </c>
      <c r="O2244" s="1">
        <v>45582.4609375</v>
      </c>
      <c r="P2244" t="s">
        <v>392</v>
      </c>
    </row>
    <row r="2245" spans="1:16" x14ac:dyDescent="0.3">
      <c r="A2245" t="s">
        <v>25</v>
      </c>
      <c r="B2245" s="1">
        <v>45582.460925925923</v>
      </c>
      <c r="C2245" t="str">
        <f t="shared" si="431"/>
        <v>41</v>
      </c>
      <c r="D2245" t="s">
        <v>120</v>
      </c>
      <c r="E2245" t="s">
        <v>116</v>
      </c>
      <c r="F2245" t="s">
        <v>117</v>
      </c>
      <c r="H2245" t="s">
        <v>638</v>
      </c>
      <c r="I2245" t="str">
        <f>"101050002013953"</f>
        <v>101050002013953</v>
      </c>
      <c r="J2245" t="str">
        <f t="shared" si="432"/>
        <v>514846</v>
      </c>
      <c r="K2245" t="s">
        <v>18</v>
      </c>
      <c r="L2245">
        <v>49</v>
      </c>
      <c r="M2245">
        <v>49</v>
      </c>
      <c r="N2245">
        <v>0</v>
      </c>
      <c r="O2245" s="1">
        <v>45582.460925925923</v>
      </c>
      <c r="P2245" t="s">
        <v>392</v>
      </c>
    </row>
    <row r="2246" spans="1:16" x14ac:dyDescent="0.3">
      <c r="A2246" t="s">
        <v>25</v>
      </c>
      <c r="B2246" s="1">
        <v>45582.460925925923</v>
      </c>
      <c r="C2246" t="str">
        <f t="shared" si="431"/>
        <v>41</v>
      </c>
      <c r="D2246" t="s">
        <v>120</v>
      </c>
      <c r="E2246" t="s">
        <v>116</v>
      </c>
      <c r="F2246" t="s">
        <v>117</v>
      </c>
      <c r="H2246" t="s">
        <v>638</v>
      </c>
      <c r="I2246" t="str">
        <f>"101050002013949"</f>
        <v>101050002013949</v>
      </c>
      <c r="J2246" t="str">
        <f t="shared" si="432"/>
        <v>514846</v>
      </c>
      <c r="K2246" t="s">
        <v>18</v>
      </c>
      <c r="L2246">
        <v>49</v>
      </c>
      <c r="M2246">
        <v>49</v>
      </c>
      <c r="N2246">
        <v>0</v>
      </c>
      <c r="O2246" s="1">
        <v>45582.460925925923</v>
      </c>
      <c r="P2246" t="s">
        <v>392</v>
      </c>
    </row>
    <row r="2247" spans="1:16" x14ac:dyDescent="0.3">
      <c r="A2247" t="s">
        <v>25</v>
      </c>
      <c r="B2247" s="1">
        <v>45582.460925925923</v>
      </c>
      <c r="C2247" t="str">
        <f t="shared" si="431"/>
        <v>41</v>
      </c>
      <c r="D2247" t="s">
        <v>120</v>
      </c>
      <c r="E2247" t="s">
        <v>116</v>
      </c>
      <c r="F2247" t="s">
        <v>117</v>
      </c>
      <c r="H2247" t="s">
        <v>638</v>
      </c>
      <c r="I2247" t="str">
        <f>"101050002013917"</f>
        <v>101050002013917</v>
      </c>
      <c r="J2247" t="str">
        <f t="shared" si="432"/>
        <v>514846</v>
      </c>
      <c r="K2247" t="s">
        <v>18</v>
      </c>
      <c r="L2247">
        <v>49</v>
      </c>
      <c r="M2247">
        <v>49</v>
      </c>
      <c r="N2247">
        <v>0</v>
      </c>
      <c r="O2247" s="1">
        <v>45582.460925925923</v>
      </c>
      <c r="P2247" t="s">
        <v>392</v>
      </c>
    </row>
    <row r="2248" spans="1:16" x14ac:dyDescent="0.3">
      <c r="A2248" t="s">
        <v>25</v>
      </c>
      <c r="B2248" s="1">
        <v>45582.460925925923</v>
      </c>
      <c r="C2248" t="str">
        <f t="shared" si="431"/>
        <v>41</v>
      </c>
      <c r="D2248" t="s">
        <v>120</v>
      </c>
      <c r="E2248" t="s">
        <v>116</v>
      </c>
      <c r="F2248" t="s">
        <v>117</v>
      </c>
      <c r="H2248" t="s">
        <v>638</v>
      </c>
      <c r="I2248" t="str">
        <f>"101050002009533"</f>
        <v>101050002009533</v>
      </c>
      <c r="J2248" t="str">
        <f t="shared" si="432"/>
        <v>514846</v>
      </c>
      <c r="K2248" t="s">
        <v>18</v>
      </c>
      <c r="L2248">
        <v>49</v>
      </c>
      <c r="M2248">
        <v>49</v>
      </c>
      <c r="N2248">
        <v>0</v>
      </c>
      <c r="O2248" s="1">
        <v>45582.460925925923</v>
      </c>
      <c r="P2248" t="s">
        <v>392</v>
      </c>
    </row>
    <row r="2249" spans="1:16" x14ac:dyDescent="0.3">
      <c r="A2249" t="s">
        <v>25</v>
      </c>
      <c r="B2249" s="1">
        <v>45582.460925925923</v>
      </c>
      <c r="C2249" t="str">
        <f t="shared" si="431"/>
        <v>41</v>
      </c>
      <c r="D2249" t="s">
        <v>120</v>
      </c>
      <c r="E2249" t="s">
        <v>116</v>
      </c>
      <c r="F2249" t="s">
        <v>117</v>
      </c>
      <c r="H2249" t="s">
        <v>638</v>
      </c>
      <c r="I2249" t="str">
        <f>"101050002013819"</f>
        <v>101050002013819</v>
      </c>
      <c r="J2249" t="str">
        <f t="shared" si="432"/>
        <v>514846</v>
      </c>
      <c r="K2249" t="s">
        <v>18</v>
      </c>
      <c r="L2249">
        <v>49</v>
      </c>
      <c r="M2249">
        <v>49</v>
      </c>
      <c r="N2249">
        <v>0</v>
      </c>
      <c r="O2249" s="1">
        <v>45582.460925925923</v>
      </c>
      <c r="P2249" t="s">
        <v>392</v>
      </c>
    </row>
    <row r="2250" spans="1:16" x14ac:dyDescent="0.3">
      <c r="A2250" t="s">
        <v>25</v>
      </c>
      <c r="B2250" s="1">
        <v>45582.460925925923</v>
      </c>
      <c r="C2250" t="str">
        <f t="shared" si="431"/>
        <v>41</v>
      </c>
      <c r="D2250" t="s">
        <v>120</v>
      </c>
      <c r="E2250" t="s">
        <v>116</v>
      </c>
      <c r="F2250" t="s">
        <v>117</v>
      </c>
      <c r="H2250" t="s">
        <v>638</v>
      </c>
      <c r="I2250" t="str">
        <f>"101050002013991"</f>
        <v>101050002013991</v>
      </c>
      <c r="J2250" t="str">
        <f t="shared" si="432"/>
        <v>514846</v>
      </c>
      <c r="K2250" t="s">
        <v>18</v>
      </c>
      <c r="L2250">
        <v>49</v>
      </c>
      <c r="M2250">
        <v>49</v>
      </c>
      <c r="N2250">
        <v>0</v>
      </c>
      <c r="O2250" s="1">
        <v>45582.460925925923</v>
      </c>
      <c r="P2250" t="s">
        <v>392</v>
      </c>
    </row>
    <row r="2251" spans="1:16" x14ac:dyDescent="0.3">
      <c r="A2251" t="s">
        <v>25</v>
      </c>
      <c r="B2251" s="1">
        <v>45582.461458333331</v>
      </c>
      <c r="C2251" t="str">
        <f>"38"</f>
        <v>38</v>
      </c>
      <c r="D2251" t="s">
        <v>115</v>
      </c>
      <c r="E2251" t="s">
        <v>116</v>
      </c>
      <c r="F2251" t="s">
        <v>117</v>
      </c>
      <c r="H2251" t="s">
        <v>639</v>
      </c>
      <c r="L2251">
        <v>0</v>
      </c>
      <c r="M2251">
        <v>0</v>
      </c>
      <c r="N2251">
        <v>0</v>
      </c>
      <c r="O2251" s="1">
        <v>45582.461458333331</v>
      </c>
      <c r="P2251" t="s">
        <v>122</v>
      </c>
    </row>
    <row r="2252" spans="1:16" x14ac:dyDescent="0.3">
      <c r="A2252" t="s">
        <v>25</v>
      </c>
      <c r="B2252" s="1">
        <v>45582.461458333331</v>
      </c>
      <c r="C2252" t="str">
        <f>"41"</f>
        <v>41</v>
      </c>
      <c r="D2252" t="s">
        <v>120</v>
      </c>
      <c r="E2252" t="s">
        <v>116</v>
      </c>
      <c r="F2252" t="s">
        <v>117</v>
      </c>
      <c r="H2252" t="s">
        <v>639</v>
      </c>
      <c r="I2252" t="str">
        <f>"101050002015749"</f>
        <v>101050002015749</v>
      </c>
      <c r="J2252" t="str">
        <f>"6011"</f>
        <v>6011</v>
      </c>
      <c r="K2252" t="s">
        <v>97</v>
      </c>
      <c r="L2252">
        <v>49</v>
      </c>
      <c r="M2252">
        <v>49</v>
      </c>
      <c r="N2252">
        <v>0</v>
      </c>
      <c r="O2252" s="1">
        <v>45582.461458333331</v>
      </c>
      <c r="P2252" t="s">
        <v>122</v>
      </c>
    </row>
    <row r="2253" spans="1:16" x14ac:dyDescent="0.3">
      <c r="A2253" t="s">
        <v>25</v>
      </c>
      <c r="B2253" s="1">
        <v>45582.459467592591</v>
      </c>
      <c r="C2253" t="str">
        <f>"38"</f>
        <v>38</v>
      </c>
      <c r="D2253" t="s">
        <v>115</v>
      </c>
      <c r="E2253" t="s">
        <v>116</v>
      </c>
      <c r="F2253" t="s">
        <v>117</v>
      </c>
      <c r="H2253" t="s">
        <v>640</v>
      </c>
      <c r="L2253">
        <v>0</v>
      </c>
      <c r="M2253">
        <v>0</v>
      </c>
      <c r="N2253">
        <v>0</v>
      </c>
      <c r="O2253" s="1">
        <v>45582.459467592591</v>
      </c>
      <c r="P2253" t="s">
        <v>125</v>
      </c>
    </row>
    <row r="2254" spans="1:16" x14ac:dyDescent="0.3">
      <c r="A2254" t="s">
        <v>25</v>
      </c>
      <c r="B2254" s="1">
        <v>45582.459467592591</v>
      </c>
      <c r="C2254" t="str">
        <f>"41"</f>
        <v>41</v>
      </c>
      <c r="D2254" t="s">
        <v>120</v>
      </c>
      <c r="E2254" t="s">
        <v>116</v>
      </c>
      <c r="F2254" t="s">
        <v>117</v>
      </c>
      <c r="H2254" t="s">
        <v>640</v>
      </c>
      <c r="I2254" t="str">
        <f>"101050001989642"</f>
        <v>101050001989642</v>
      </c>
      <c r="J2254" t="str">
        <f>"514491"</f>
        <v>514491</v>
      </c>
      <c r="K2254" t="s">
        <v>86</v>
      </c>
      <c r="L2254">
        <v>49</v>
      </c>
      <c r="M2254">
        <v>49</v>
      </c>
      <c r="N2254">
        <v>0</v>
      </c>
      <c r="O2254" s="1">
        <v>45582.459467592591</v>
      </c>
      <c r="P2254" t="s">
        <v>125</v>
      </c>
    </row>
    <row r="2255" spans="1:16" x14ac:dyDescent="0.3">
      <c r="A2255" t="s">
        <v>25</v>
      </c>
      <c r="B2255" s="1">
        <v>45582.459467592591</v>
      </c>
      <c r="C2255" t="str">
        <f>"41"</f>
        <v>41</v>
      </c>
      <c r="D2255" t="s">
        <v>120</v>
      </c>
      <c r="E2255" t="s">
        <v>116</v>
      </c>
      <c r="F2255" t="s">
        <v>117</v>
      </c>
      <c r="H2255" t="s">
        <v>640</v>
      </c>
      <c r="I2255" t="str">
        <f>"101050001986910"</f>
        <v>101050001986910</v>
      </c>
      <c r="J2255" t="str">
        <f>"514491"</f>
        <v>514491</v>
      </c>
      <c r="K2255" t="s">
        <v>86</v>
      </c>
      <c r="L2255">
        <v>49</v>
      </c>
      <c r="M2255">
        <v>49</v>
      </c>
      <c r="N2255">
        <v>0</v>
      </c>
      <c r="O2255" s="1">
        <v>45582.459467592591</v>
      </c>
      <c r="P2255" t="s">
        <v>125</v>
      </c>
    </row>
    <row r="2256" spans="1:16" x14ac:dyDescent="0.3">
      <c r="A2256" t="s">
        <v>25</v>
      </c>
      <c r="B2256" s="1">
        <v>45582.459467592591</v>
      </c>
      <c r="C2256" t="str">
        <f>"41"</f>
        <v>41</v>
      </c>
      <c r="D2256" t="s">
        <v>120</v>
      </c>
      <c r="E2256" t="s">
        <v>116</v>
      </c>
      <c r="F2256" t="s">
        <v>117</v>
      </c>
      <c r="H2256" t="s">
        <v>640</v>
      </c>
      <c r="I2256" t="str">
        <f>"101050001986535"</f>
        <v>101050001986535</v>
      </c>
      <c r="J2256" t="str">
        <f>"514491"</f>
        <v>514491</v>
      </c>
      <c r="K2256" t="s">
        <v>86</v>
      </c>
      <c r="L2256">
        <v>49</v>
      </c>
      <c r="M2256">
        <v>49</v>
      </c>
      <c r="N2256">
        <v>0</v>
      </c>
      <c r="O2256" s="1">
        <v>45582.459467592591</v>
      </c>
      <c r="P2256" t="s">
        <v>125</v>
      </c>
    </row>
    <row r="2257" spans="1:16" x14ac:dyDescent="0.3">
      <c r="A2257" t="s">
        <v>25</v>
      </c>
      <c r="B2257" s="1">
        <v>45582.459467592591</v>
      </c>
      <c r="C2257" t="str">
        <f>"41"</f>
        <v>41</v>
      </c>
      <c r="D2257" t="s">
        <v>120</v>
      </c>
      <c r="E2257" t="s">
        <v>116</v>
      </c>
      <c r="F2257" t="s">
        <v>117</v>
      </c>
      <c r="H2257" t="s">
        <v>640</v>
      </c>
      <c r="I2257" t="str">
        <f>"101050001986203"</f>
        <v>101050001986203</v>
      </c>
      <c r="J2257" t="str">
        <f>"514491"</f>
        <v>514491</v>
      </c>
      <c r="K2257" t="s">
        <v>86</v>
      </c>
      <c r="L2257">
        <v>49</v>
      </c>
      <c r="M2257">
        <v>49</v>
      </c>
      <c r="N2257">
        <v>0</v>
      </c>
      <c r="O2257" s="1">
        <v>45582.459467592591</v>
      </c>
      <c r="P2257" t="s">
        <v>125</v>
      </c>
    </row>
    <row r="2258" spans="1:16" x14ac:dyDescent="0.3">
      <c r="A2258" t="s">
        <v>25</v>
      </c>
      <c r="B2258" s="1">
        <v>45582.459456018521</v>
      </c>
      <c r="C2258" t="str">
        <f>"41"</f>
        <v>41</v>
      </c>
      <c r="D2258" t="s">
        <v>120</v>
      </c>
      <c r="E2258" t="s">
        <v>116</v>
      </c>
      <c r="F2258" t="s">
        <v>117</v>
      </c>
      <c r="H2258" t="s">
        <v>640</v>
      </c>
      <c r="I2258" t="str">
        <f>"101050001986221"</f>
        <v>101050001986221</v>
      </c>
      <c r="J2258" t="str">
        <f>"514491"</f>
        <v>514491</v>
      </c>
      <c r="K2258" t="s">
        <v>86</v>
      </c>
      <c r="L2258">
        <v>49</v>
      </c>
      <c r="M2258">
        <v>49</v>
      </c>
      <c r="N2258">
        <v>0</v>
      </c>
      <c r="O2258" s="1">
        <v>45582.459456018521</v>
      </c>
      <c r="P2258" t="s">
        <v>125</v>
      </c>
    </row>
    <row r="2259" spans="1:16" x14ac:dyDescent="0.3">
      <c r="A2259" t="s">
        <v>25</v>
      </c>
      <c r="B2259" s="1">
        <v>45582.458553240744</v>
      </c>
      <c r="C2259" t="str">
        <f>"38"</f>
        <v>38</v>
      </c>
      <c r="D2259" t="s">
        <v>115</v>
      </c>
      <c r="E2259" t="s">
        <v>116</v>
      </c>
      <c r="F2259" t="s">
        <v>117</v>
      </c>
      <c r="H2259" t="s">
        <v>641</v>
      </c>
      <c r="L2259">
        <v>0</v>
      </c>
      <c r="M2259">
        <v>0</v>
      </c>
      <c r="N2259">
        <v>0</v>
      </c>
      <c r="O2259" s="1">
        <v>45582.458553240744</v>
      </c>
      <c r="P2259" t="s">
        <v>125</v>
      </c>
    </row>
    <row r="2260" spans="1:16" x14ac:dyDescent="0.3">
      <c r="A2260" t="s">
        <v>25</v>
      </c>
      <c r="B2260" s="1">
        <v>45582.458553240744</v>
      </c>
      <c r="C2260" t="str">
        <f>"41"</f>
        <v>41</v>
      </c>
      <c r="D2260" t="s">
        <v>120</v>
      </c>
      <c r="E2260" t="s">
        <v>116</v>
      </c>
      <c r="F2260" t="s">
        <v>117</v>
      </c>
      <c r="H2260" t="s">
        <v>641</v>
      </c>
      <c r="I2260" t="str">
        <f>"101050002026862"</f>
        <v>101050002026862</v>
      </c>
      <c r="J2260" t="str">
        <f>"128378"</f>
        <v>128378</v>
      </c>
      <c r="K2260" t="s">
        <v>15</v>
      </c>
      <c r="L2260">
        <v>49</v>
      </c>
      <c r="M2260">
        <v>49</v>
      </c>
      <c r="N2260">
        <v>0</v>
      </c>
      <c r="O2260" s="1">
        <v>45582.458553240744</v>
      </c>
      <c r="P2260" t="s">
        <v>125</v>
      </c>
    </row>
    <row r="2261" spans="1:16" x14ac:dyDescent="0.3">
      <c r="A2261" t="s">
        <v>25</v>
      </c>
      <c r="B2261" s="1">
        <v>45582.457800925928</v>
      </c>
      <c r="C2261" t="str">
        <f>"38"</f>
        <v>38</v>
      </c>
      <c r="D2261" t="s">
        <v>115</v>
      </c>
      <c r="E2261" t="s">
        <v>116</v>
      </c>
      <c r="F2261" t="s">
        <v>117</v>
      </c>
      <c r="H2261" t="s">
        <v>642</v>
      </c>
      <c r="L2261">
        <v>0</v>
      </c>
      <c r="M2261">
        <v>0</v>
      </c>
      <c r="N2261">
        <v>0</v>
      </c>
      <c r="O2261" s="1">
        <v>45582.457800925928</v>
      </c>
      <c r="P2261" t="s">
        <v>138</v>
      </c>
    </row>
    <row r="2262" spans="1:16" x14ac:dyDescent="0.3">
      <c r="A2262" t="s">
        <v>25</v>
      </c>
      <c r="B2262" s="1">
        <v>45582.457800925928</v>
      </c>
      <c r="C2262" t="str">
        <f t="shared" ref="C2262:C2268" si="433">"41"</f>
        <v>41</v>
      </c>
      <c r="D2262" t="s">
        <v>120</v>
      </c>
      <c r="E2262" t="s">
        <v>116</v>
      </c>
      <c r="F2262" t="s">
        <v>117</v>
      </c>
      <c r="H2262" t="s">
        <v>642</v>
      </c>
      <c r="I2262" t="str">
        <f>"101050002015124"</f>
        <v>101050002015124</v>
      </c>
      <c r="J2262" t="str">
        <f t="shared" ref="J2262:J2268" si="434">"514846"</f>
        <v>514846</v>
      </c>
      <c r="K2262" t="s">
        <v>18</v>
      </c>
      <c r="L2262">
        <v>49</v>
      </c>
      <c r="M2262">
        <v>49</v>
      </c>
      <c r="N2262">
        <v>0</v>
      </c>
      <c r="O2262" s="1">
        <v>45582.457800925928</v>
      </c>
      <c r="P2262" t="s">
        <v>138</v>
      </c>
    </row>
    <row r="2263" spans="1:16" x14ac:dyDescent="0.3">
      <c r="A2263" t="s">
        <v>25</v>
      </c>
      <c r="B2263" s="1">
        <v>45582.457800925928</v>
      </c>
      <c r="C2263" t="str">
        <f t="shared" si="433"/>
        <v>41</v>
      </c>
      <c r="D2263" t="s">
        <v>120</v>
      </c>
      <c r="E2263" t="s">
        <v>116</v>
      </c>
      <c r="F2263" t="s">
        <v>117</v>
      </c>
      <c r="H2263" t="s">
        <v>642</v>
      </c>
      <c r="I2263" t="str">
        <f>"101050002015233"</f>
        <v>101050002015233</v>
      </c>
      <c r="J2263" t="str">
        <f t="shared" si="434"/>
        <v>514846</v>
      </c>
      <c r="K2263" t="s">
        <v>18</v>
      </c>
      <c r="L2263">
        <v>49</v>
      </c>
      <c r="M2263">
        <v>49</v>
      </c>
      <c r="N2263">
        <v>0</v>
      </c>
      <c r="O2263" s="1">
        <v>45582.457800925928</v>
      </c>
      <c r="P2263" t="s">
        <v>138</v>
      </c>
    </row>
    <row r="2264" spans="1:16" x14ac:dyDescent="0.3">
      <c r="A2264" t="s">
        <v>25</v>
      </c>
      <c r="B2264" s="1">
        <v>45582.457800925928</v>
      </c>
      <c r="C2264" t="str">
        <f t="shared" si="433"/>
        <v>41</v>
      </c>
      <c r="D2264" t="s">
        <v>120</v>
      </c>
      <c r="E2264" t="s">
        <v>116</v>
      </c>
      <c r="F2264" t="s">
        <v>117</v>
      </c>
      <c r="H2264" t="s">
        <v>642</v>
      </c>
      <c r="I2264" t="str">
        <f>"101050002015231"</f>
        <v>101050002015231</v>
      </c>
      <c r="J2264" t="str">
        <f t="shared" si="434"/>
        <v>514846</v>
      </c>
      <c r="K2264" t="s">
        <v>18</v>
      </c>
      <c r="L2264">
        <v>49</v>
      </c>
      <c r="M2264">
        <v>49</v>
      </c>
      <c r="N2264">
        <v>0</v>
      </c>
      <c r="O2264" s="1">
        <v>45582.457800925928</v>
      </c>
      <c r="P2264" t="s">
        <v>138</v>
      </c>
    </row>
    <row r="2265" spans="1:16" x14ac:dyDescent="0.3">
      <c r="A2265" t="s">
        <v>25</v>
      </c>
      <c r="B2265" s="1">
        <v>45582.457800925928</v>
      </c>
      <c r="C2265" t="str">
        <f t="shared" si="433"/>
        <v>41</v>
      </c>
      <c r="D2265" t="s">
        <v>120</v>
      </c>
      <c r="E2265" t="s">
        <v>116</v>
      </c>
      <c r="F2265" t="s">
        <v>117</v>
      </c>
      <c r="H2265" t="s">
        <v>642</v>
      </c>
      <c r="I2265" t="str">
        <f>"101050002014680"</f>
        <v>101050002014680</v>
      </c>
      <c r="J2265" t="str">
        <f t="shared" si="434"/>
        <v>514846</v>
      </c>
      <c r="K2265" t="s">
        <v>18</v>
      </c>
      <c r="L2265">
        <v>49</v>
      </c>
      <c r="M2265">
        <v>49</v>
      </c>
      <c r="N2265">
        <v>0</v>
      </c>
      <c r="O2265" s="1">
        <v>45582.457800925928</v>
      </c>
      <c r="P2265" t="s">
        <v>138</v>
      </c>
    </row>
    <row r="2266" spans="1:16" x14ac:dyDescent="0.3">
      <c r="A2266" t="s">
        <v>25</v>
      </c>
      <c r="B2266" s="1">
        <v>45582.457800925928</v>
      </c>
      <c r="C2266" t="str">
        <f t="shared" si="433"/>
        <v>41</v>
      </c>
      <c r="D2266" t="s">
        <v>120</v>
      </c>
      <c r="E2266" t="s">
        <v>116</v>
      </c>
      <c r="F2266" t="s">
        <v>117</v>
      </c>
      <c r="H2266" t="s">
        <v>642</v>
      </c>
      <c r="I2266" t="str">
        <f>"101050002015056"</f>
        <v>101050002015056</v>
      </c>
      <c r="J2266" t="str">
        <f t="shared" si="434"/>
        <v>514846</v>
      </c>
      <c r="K2266" t="s">
        <v>18</v>
      </c>
      <c r="L2266">
        <v>49</v>
      </c>
      <c r="M2266">
        <v>49</v>
      </c>
      <c r="N2266">
        <v>0</v>
      </c>
      <c r="O2266" s="1">
        <v>45582.457800925928</v>
      </c>
      <c r="P2266" t="s">
        <v>138</v>
      </c>
    </row>
    <row r="2267" spans="1:16" x14ac:dyDescent="0.3">
      <c r="A2267" t="s">
        <v>25</v>
      </c>
      <c r="B2267" s="1">
        <v>45582.457789351851</v>
      </c>
      <c r="C2267" t="str">
        <f t="shared" si="433"/>
        <v>41</v>
      </c>
      <c r="D2267" t="s">
        <v>120</v>
      </c>
      <c r="E2267" t="s">
        <v>116</v>
      </c>
      <c r="F2267" t="s">
        <v>117</v>
      </c>
      <c r="H2267" t="s">
        <v>642</v>
      </c>
      <c r="I2267" t="str">
        <f>"101050002014829"</f>
        <v>101050002014829</v>
      </c>
      <c r="J2267" t="str">
        <f t="shared" si="434"/>
        <v>514846</v>
      </c>
      <c r="K2267" t="s">
        <v>18</v>
      </c>
      <c r="L2267">
        <v>49</v>
      </c>
      <c r="M2267">
        <v>49</v>
      </c>
      <c r="N2267">
        <v>0</v>
      </c>
      <c r="O2267" s="1">
        <v>45582.457789351851</v>
      </c>
      <c r="P2267" t="s">
        <v>138</v>
      </c>
    </row>
    <row r="2268" spans="1:16" x14ac:dyDescent="0.3">
      <c r="A2268" t="s">
        <v>25</v>
      </c>
      <c r="B2268" s="1">
        <v>45582.457789351851</v>
      </c>
      <c r="C2268" t="str">
        <f t="shared" si="433"/>
        <v>41</v>
      </c>
      <c r="D2268" t="s">
        <v>120</v>
      </c>
      <c r="E2268" t="s">
        <v>116</v>
      </c>
      <c r="F2268" t="s">
        <v>117</v>
      </c>
      <c r="H2268" t="s">
        <v>642</v>
      </c>
      <c r="I2268" t="str">
        <f>"101050002014830"</f>
        <v>101050002014830</v>
      </c>
      <c r="J2268" t="str">
        <f t="shared" si="434"/>
        <v>514846</v>
      </c>
      <c r="K2268" t="s">
        <v>18</v>
      </c>
      <c r="L2268">
        <v>49</v>
      </c>
      <c r="M2268">
        <v>49</v>
      </c>
      <c r="N2268">
        <v>0</v>
      </c>
      <c r="O2268" s="1">
        <v>45582.457789351851</v>
      </c>
      <c r="P2268" t="s">
        <v>138</v>
      </c>
    </row>
    <row r="2269" spans="1:16" x14ac:dyDescent="0.3">
      <c r="A2269" t="s">
        <v>25</v>
      </c>
      <c r="B2269" s="1">
        <v>45582.457696759258</v>
      </c>
      <c r="C2269" t="str">
        <f>"38"</f>
        <v>38</v>
      </c>
      <c r="D2269" t="s">
        <v>115</v>
      </c>
      <c r="E2269" t="s">
        <v>116</v>
      </c>
      <c r="F2269" t="s">
        <v>117</v>
      </c>
      <c r="H2269" t="s">
        <v>643</v>
      </c>
      <c r="L2269">
        <v>0</v>
      </c>
      <c r="M2269">
        <v>0</v>
      </c>
      <c r="N2269">
        <v>0</v>
      </c>
      <c r="O2269" s="1">
        <v>45582.457696759258</v>
      </c>
      <c r="P2269" t="s">
        <v>119</v>
      </c>
    </row>
    <row r="2270" spans="1:16" x14ac:dyDescent="0.3">
      <c r="A2270" t="s">
        <v>25</v>
      </c>
      <c r="B2270" s="1">
        <v>45582.457696759258</v>
      </c>
      <c r="C2270" t="str">
        <f>"41"</f>
        <v>41</v>
      </c>
      <c r="D2270" t="s">
        <v>120</v>
      </c>
      <c r="E2270" t="s">
        <v>116</v>
      </c>
      <c r="F2270" t="s">
        <v>117</v>
      </c>
      <c r="H2270" t="s">
        <v>643</v>
      </c>
      <c r="I2270" t="str">
        <f>"101050001941181"</f>
        <v>101050001941181</v>
      </c>
      <c r="J2270" t="str">
        <f>"126485"</f>
        <v>126485</v>
      </c>
      <c r="K2270" t="s">
        <v>49</v>
      </c>
      <c r="L2270">
        <v>49</v>
      </c>
      <c r="M2270">
        <v>49</v>
      </c>
      <c r="N2270">
        <v>0</v>
      </c>
      <c r="O2270" s="1">
        <v>45582.457696759258</v>
      </c>
      <c r="P2270" t="s">
        <v>119</v>
      </c>
    </row>
    <row r="2271" spans="1:16" x14ac:dyDescent="0.3">
      <c r="A2271" t="s">
        <v>25</v>
      </c>
      <c r="B2271" s="1">
        <v>45582.457696759258</v>
      </c>
      <c r="C2271" t="str">
        <f>"41"</f>
        <v>41</v>
      </c>
      <c r="D2271" t="s">
        <v>120</v>
      </c>
      <c r="E2271" t="s">
        <v>116</v>
      </c>
      <c r="F2271" t="s">
        <v>117</v>
      </c>
      <c r="H2271" t="s">
        <v>643</v>
      </c>
      <c r="I2271" t="str">
        <f>"101050001941180"</f>
        <v>101050001941180</v>
      </c>
      <c r="J2271" t="str">
        <f>"126485"</f>
        <v>126485</v>
      </c>
      <c r="K2271" t="s">
        <v>49</v>
      </c>
      <c r="L2271">
        <v>49</v>
      </c>
      <c r="M2271">
        <v>49</v>
      </c>
      <c r="N2271">
        <v>0</v>
      </c>
      <c r="O2271" s="1">
        <v>45582.457696759258</v>
      </c>
      <c r="P2271" t="s">
        <v>119</v>
      </c>
    </row>
    <row r="2272" spans="1:16" x14ac:dyDescent="0.3">
      <c r="A2272" t="s">
        <v>25</v>
      </c>
      <c r="B2272" s="1">
        <v>45582.457696759258</v>
      </c>
      <c r="C2272" t="str">
        <f>"41"</f>
        <v>41</v>
      </c>
      <c r="D2272" t="s">
        <v>120</v>
      </c>
      <c r="E2272" t="s">
        <v>116</v>
      </c>
      <c r="F2272" t="s">
        <v>117</v>
      </c>
      <c r="H2272" t="s">
        <v>643</v>
      </c>
      <c r="I2272" t="str">
        <f>"101050001941116"</f>
        <v>101050001941116</v>
      </c>
      <c r="J2272" t="str">
        <f>"126485"</f>
        <v>126485</v>
      </c>
      <c r="K2272" t="s">
        <v>49</v>
      </c>
      <c r="L2272">
        <v>49</v>
      </c>
      <c r="M2272">
        <v>49</v>
      </c>
      <c r="N2272">
        <v>0</v>
      </c>
      <c r="O2272" s="1">
        <v>45582.457696759258</v>
      </c>
      <c r="P2272" t="s">
        <v>119</v>
      </c>
    </row>
    <row r="2273" spans="1:16" x14ac:dyDescent="0.3">
      <c r="A2273" t="s">
        <v>25</v>
      </c>
      <c r="B2273" s="1">
        <v>45582.457060185188</v>
      </c>
      <c r="C2273" t="str">
        <f>"38"</f>
        <v>38</v>
      </c>
      <c r="D2273" t="s">
        <v>115</v>
      </c>
      <c r="E2273" t="s">
        <v>116</v>
      </c>
      <c r="F2273" t="s">
        <v>117</v>
      </c>
      <c r="H2273" t="s">
        <v>644</v>
      </c>
      <c r="L2273">
        <v>0</v>
      </c>
      <c r="M2273">
        <v>0</v>
      </c>
      <c r="N2273">
        <v>0</v>
      </c>
      <c r="O2273" s="1">
        <v>45582.457060185188</v>
      </c>
      <c r="P2273" t="s">
        <v>125</v>
      </c>
    </row>
    <row r="2274" spans="1:16" x14ac:dyDescent="0.3">
      <c r="A2274" t="s">
        <v>25</v>
      </c>
      <c r="B2274" s="1">
        <v>45582.457060185188</v>
      </c>
      <c r="C2274" t="str">
        <f>"40"</f>
        <v>40</v>
      </c>
      <c r="D2274" t="s">
        <v>220</v>
      </c>
      <c r="E2274" t="s">
        <v>116</v>
      </c>
      <c r="F2274" t="s">
        <v>117</v>
      </c>
      <c r="G2274" t="s">
        <v>221</v>
      </c>
      <c r="H2274" t="s">
        <v>644</v>
      </c>
      <c r="I2274" t="str">
        <f>"101050002006384"</f>
        <v>101050002006384</v>
      </c>
      <c r="J2274" t="str">
        <f t="shared" ref="J2274:J2280" si="435">"123051"</f>
        <v>123051</v>
      </c>
      <c r="K2274" t="s">
        <v>27</v>
      </c>
      <c r="L2274">
        <v>49</v>
      </c>
      <c r="M2274">
        <v>0</v>
      </c>
      <c r="N2274">
        <v>-49</v>
      </c>
      <c r="O2274" s="1">
        <v>45582.457060185188</v>
      </c>
      <c r="P2274" t="s">
        <v>125</v>
      </c>
    </row>
    <row r="2275" spans="1:16" x14ac:dyDescent="0.3">
      <c r="A2275" t="s">
        <v>25</v>
      </c>
      <c r="B2275" s="1">
        <v>45582.457060185188</v>
      </c>
      <c r="C2275" t="str">
        <f t="shared" ref="C2275:C2280" si="436">"41"</f>
        <v>41</v>
      </c>
      <c r="D2275" t="s">
        <v>120</v>
      </c>
      <c r="E2275" t="s">
        <v>116</v>
      </c>
      <c r="F2275" t="s">
        <v>117</v>
      </c>
      <c r="H2275" t="s">
        <v>644</v>
      </c>
      <c r="I2275" t="str">
        <f>"101050002015185"</f>
        <v>101050002015185</v>
      </c>
      <c r="J2275" t="str">
        <f t="shared" si="435"/>
        <v>123051</v>
      </c>
      <c r="K2275" t="s">
        <v>27</v>
      </c>
      <c r="L2275">
        <v>49</v>
      </c>
      <c r="M2275">
        <v>49</v>
      </c>
      <c r="N2275">
        <v>0</v>
      </c>
      <c r="O2275" s="1">
        <v>45582.457060185188</v>
      </c>
      <c r="P2275" t="s">
        <v>125</v>
      </c>
    </row>
    <row r="2276" spans="1:16" x14ac:dyDescent="0.3">
      <c r="A2276" t="s">
        <v>25</v>
      </c>
      <c r="B2276" s="1">
        <v>45582.457060185188</v>
      </c>
      <c r="C2276" t="str">
        <f t="shared" si="436"/>
        <v>41</v>
      </c>
      <c r="D2276" t="s">
        <v>120</v>
      </c>
      <c r="E2276" t="s">
        <v>116</v>
      </c>
      <c r="F2276" t="s">
        <v>117</v>
      </c>
      <c r="H2276" t="s">
        <v>644</v>
      </c>
      <c r="I2276" t="str">
        <f>"101050002015305"</f>
        <v>101050002015305</v>
      </c>
      <c r="J2276" t="str">
        <f t="shared" si="435"/>
        <v>123051</v>
      </c>
      <c r="K2276" t="s">
        <v>27</v>
      </c>
      <c r="L2276">
        <v>49</v>
      </c>
      <c r="M2276">
        <v>49</v>
      </c>
      <c r="N2276">
        <v>0</v>
      </c>
      <c r="O2276" s="1">
        <v>45582.457060185188</v>
      </c>
      <c r="P2276" t="s">
        <v>125</v>
      </c>
    </row>
    <row r="2277" spans="1:16" x14ac:dyDescent="0.3">
      <c r="A2277" t="s">
        <v>25</v>
      </c>
      <c r="B2277" s="1">
        <v>45582.457060185188</v>
      </c>
      <c r="C2277" t="str">
        <f t="shared" si="436"/>
        <v>41</v>
      </c>
      <c r="D2277" t="s">
        <v>120</v>
      </c>
      <c r="E2277" t="s">
        <v>116</v>
      </c>
      <c r="F2277" t="s">
        <v>117</v>
      </c>
      <c r="H2277" t="s">
        <v>644</v>
      </c>
      <c r="I2277" t="str">
        <f>"101050002015098"</f>
        <v>101050002015098</v>
      </c>
      <c r="J2277" t="str">
        <f t="shared" si="435"/>
        <v>123051</v>
      </c>
      <c r="K2277" t="s">
        <v>27</v>
      </c>
      <c r="L2277">
        <v>49</v>
      </c>
      <c r="M2277">
        <v>49</v>
      </c>
      <c r="N2277">
        <v>0</v>
      </c>
      <c r="O2277" s="1">
        <v>45582.457060185188</v>
      </c>
      <c r="P2277" t="s">
        <v>125</v>
      </c>
    </row>
    <row r="2278" spans="1:16" x14ac:dyDescent="0.3">
      <c r="A2278" t="s">
        <v>25</v>
      </c>
      <c r="B2278" s="1">
        <v>45582.457048611112</v>
      </c>
      <c r="C2278" t="str">
        <f t="shared" si="436"/>
        <v>41</v>
      </c>
      <c r="D2278" t="s">
        <v>120</v>
      </c>
      <c r="E2278" t="s">
        <v>116</v>
      </c>
      <c r="F2278" t="s">
        <v>117</v>
      </c>
      <c r="H2278" t="s">
        <v>644</v>
      </c>
      <c r="I2278" t="str">
        <f>"101050002015151"</f>
        <v>101050002015151</v>
      </c>
      <c r="J2278" t="str">
        <f t="shared" si="435"/>
        <v>123051</v>
      </c>
      <c r="K2278" t="s">
        <v>27</v>
      </c>
      <c r="L2278">
        <v>49</v>
      </c>
      <c r="M2278">
        <v>49</v>
      </c>
      <c r="N2278">
        <v>0</v>
      </c>
      <c r="O2278" s="1">
        <v>45582.457048611112</v>
      </c>
      <c r="P2278" t="s">
        <v>125</v>
      </c>
    </row>
    <row r="2279" spans="1:16" x14ac:dyDescent="0.3">
      <c r="A2279" t="s">
        <v>25</v>
      </c>
      <c r="B2279" s="1">
        <v>45582.457048611112</v>
      </c>
      <c r="C2279" t="str">
        <f t="shared" si="436"/>
        <v>41</v>
      </c>
      <c r="D2279" t="s">
        <v>120</v>
      </c>
      <c r="E2279" t="s">
        <v>116</v>
      </c>
      <c r="F2279" t="s">
        <v>117</v>
      </c>
      <c r="H2279" t="s">
        <v>644</v>
      </c>
      <c r="I2279" t="str">
        <f>"101050002015108"</f>
        <v>101050002015108</v>
      </c>
      <c r="J2279" t="str">
        <f t="shared" si="435"/>
        <v>123051</v>
      </c>
      <c r="K2279" t="s">
        <v>27</v>
      </c>
      <c r="L2279">
        <v>49</v>
      </c>
      <c r="M2279">
        <v>49</v>
      </c>
      <c r="N2279">
        <v>0</v>
      </c>
      <c r="O2279" s="1">
        <v>45582.457048611112</v>
      </c>
      <c r="P2279" t="s">
        <v>125</v>
      </c>
    </row>
    <row r="2280" spans="1:16" x14ac:dyDescent="0.3">
      <c r="A2280" t="s">
        <v>25</v>
      </c>
      <c r="B2280" s="1">
        <v>45582.457048611112</v>
      </c>
      <c r="C2280" t="str">
        <f t="shared" si="436"/>
        <v>41</v>
      </c>
      <c r="D2280" t="s">
        <v>120</v>
      </c>
      <c r="E2280" t="s">
        <v>116</v>
      </c>
      <c r="F2280" t="s">
        <v>117</v>
      </c>
      <c r="H2280" t="s">
        <v>644</v>
      </c>
      <c r="I2280" t="str">
        <f>"101050002015034"</f>
        <v>101050002015034</v>
      </c>
      <c r="J2280" t="str">
        <f t="shared" si="435"/>
        <v>123051</v>
      </c>
      <c r="K2280" t="s">
        <v>27</v>
      </c>
      <c r="L2280">
        <v>49</v>
      </c>
      <c r="M2280">
        <v>49</v>
      </c>
      <c r="N2280">
        <v>0</v>
      </c>
      <c r="O2280" s="1">
        <v>45582.457048611112</v>
      </c>
      <c r="P2280" t="s">
        <v>125</v>
      </c>
    </row>
    <row r="2281" spans="1:16" x14ac:dyDescent="0.3">
      <c r="A2281" t="s">
        <v>25</v>
      </c>
      <c r="B2281" s="1">
        <v>45582.456655092596</v>
      </c>
      <c r="C2281" t="str">
        <f>"38"</f>
        <v>38</v>
      </c>
      <c r="D2281" t="s">
        <v>115</v>
      </c>
      <c r="E2281" t="s">
        <v>116</v>
      </c>
      <c r="F2281" t="s">
        <v>117</v>
      </c>
      <c r="H2281" t="s">
        <v>645</v>
      </c>
      <c r="L2281">
        <v>0</v>
      </c>
      <c r="M2281">
        <v>0</v>
      </c>
      <c r="N2281">
        <v>0</v>
      </c>
      <c r="O2281" s="1">
        <v>45582.456655092596</v>
      </c>
      <c r="P2281" t="s">
        <v>122</v>
      </c>
    </row>
    <row r="2282" spans="1:16" x14ac:dyDescent="0.3">
      <c r="A2282" t="s">
        <v>25</v>
      </c>
      <c r="B2282" s="1">
        <v>45582.456655092596</v>
      </c>
      <c r="C2282" t="str">
        <f t="shared" ref="C2282:C2288" si="437">"41"</f>
        <v>41</v>
      </c>
      <c r="D2282" t="s">
        <v>120</v>
      </c>
      <c r="E2282" t="s">
        <v>116</v>
      </c>
      <c r="F2282" t="s">
        <v>117</v>
      </c>
      <c r="H2282" t="s">
        <v>645</v>
      </c>
      <c r="I2282" t="str">
        <f>"101620000471805"</f>
        <v>101620000471805</v>
      </c>
      <c r="J2282" t="str">
        <f t="shared" ref="J2282:J2288" si="438">"514867"</f>
        <v>514867</v>
      </c>
      <c r="K2282" t="s">
        <v>16</v>
      </c>
      <c r="L2282">
        <v>49</v>
      </c>
      <c r="M2282">
        <v>49</v>
      </c>
      <c r="N2282">
        <v>0</v>
      </c>
      <c r="O2282" s="1">
        <v>45582.456655092596</v>
      </c>
      <c r="P2282" t="s">
        <v>122</v>
      </c>
    </row>
    <row r="2283" spans="1:16" x14ac:dyDescent="0.3">
      <c r="A2283" t="s">
        <v>25</v>
      </c>
      <c r="B2283" s="1">
        <v>45582.456655092596</v>
      </c>
      <c r="C2283" t="str">
        <f t="shared" si="437"/>
        <v>41</v>
      </c>
      <c r="D2283" t="s">
        <v>120</v>
      </c>
      <c r="E2283" t="s">
        <v>116</v>
      </c>
      <c r="F2283" t="s">
        <v>117</v>
      </c>
      <c r="H2283" t="s">
        <v>645</v>
      </c>
      <c r="I2283" t="str">
        <f>"101620000470818"</f>
        <v>101620000470818</v>
      </c>
      <c r="J2283" t="str">
        <f t="shared" si="438"/>
        <v>514867</v>
      </c>
      <c r="K2283" t="s">
        <v>16</v>
      </c>
      <c r="L2283">
        <v>49</v>
      </c>
      <c r="M2283">
        <v>49</v>
      </c>
      <c r="N2283">
        <v>0</v>
      </c>
      <c r="O2283" s="1">
        <v>45582.456655092596</v>
      </c>
      <c r="P2283" t="s">
        <v>122</v>
      </c>
    </row>
    <row r="2284" spans="1:16" x14ac:dyDescent="0.3">
      <c r="A2284" t="s">
        <v>25</v>
      </c>
      <c r="B2284" s="1">
        <v>45582.456655092596</v>
      </c>
      <c r="C2284" t="str">
        <f t="shared" si="437"/>
        <v>41</v>
      </c>
      <c r="D2284" t="s">
        <v>120</v>
      </c>
      <c r="E2284" t="s">
        <v>116</v>
      </c>
      <c r="F2284" t="s">
        <v>117</v>
      </c>
      <c r="H2284" t="s">
        <v>645</v>
      </c>
      <c r="I2284" t="str">
        <f>"101620000471231"</f>
        <v>101620000471231</v>
      </c>
      <c r="J2284" t="str">
        <f t="shared" si="438"/>
        <v>514867</v>
      </c>
      <c r="K2284" t="s">
        <v>16</v>
      </c>
      <c r="L2284">
        <v>49</v>
      </c>
      <c r="M2284">
        <v>49</v>
      </c>
      <c r="N2284">
        <v>0</v>
      </c>
      <c r="O2284" s="1">
        <v>45582.456655092596</v>
      </c>
      <c r="P2284" t="s">
        <v>122</v>
      </c>
    </row>
    <row r="2285" spans="1:16" x14ac:dyDescent="0.3">
      <c r="A2285" t="s">
        <v>25</v>
      </c>
      <c r="B2285" s="1">
        <v>45582.456655092596</v>
      </c>
      <c r="C2285" t="str">
        <f t="shared" si="437"/>
        <v>41</v>
      </c>
      <c r="D2285" t="s">
        <v>120</v>
      </c>
      <c r="E2285" t="s">
        <v>116</v>
      </c>
      <c r="F2285" t="s">
        <v>117</v>
      </c>
      <c r="H2285" t="s">
        <v>645</v>
      </c>
      <c r="I2285" t="str">
        <f>"101620000471228"</f>
        <v>101620000471228</v>
      </c>
      <c r="J2285" t="str">
        <f t="shared" si="438"/>
        <v>514867</v>
      </c>
      <c r="K2285" t="s">
        <v>16</v>
      </c>
      <c r="L2285">
        <v>49</v>
      </c>
      <c r="M2285">
        <v>49</v>
      </c>
      <c r="N2285">
        <v>0</v>
      </c>
      <c r="O2285" s="1">
        <v>45582.456655092596</v>
      </c>
      <c r="P2285" t="s">
        <v>122</v>
      </c>
    </row>
    <row r="2286" spans="1:16" x14ac:dyDescent="0.3">
      <c r="A2286" t="s">
        <v>25</v>
      </c>
      <c r="B2286" s="1">
        <v>45582.456655092596</v>
      </c>
      <c r="C2286" t="str">
        <f t="shared" si="437"/>
        <v>41</v>
      </c>
      <c r="D2286" t="s">
        <v>120</v>
      </c>
      <c r="E2286" t="s">
        <v>116</v>
      </c>
      <c r="F2286" t="s">
        <v>117</v>
      </c>
      <c r="H2286" t="s">
        <v>645</v>
      </c>
      <c r="I2286" t="str">
        <f>"101620000471215"</f>
        <v>101620000471215</v>
      </c>
      <c r="J2286" t="str">
        <f t="shared" si="438"/>
        <v>514867</v>
      </c>
      <c r="K2286" t="s">
        <v>16</v>
      </c>
      <c r="L2286">
        <v>49</v>
      </c>
      <c r="M2286">
        <v>49</v>
      </c>
      <c r="N2286">
        <v>0</v>
      </c>
      <c r="O2286" s="1">
        <v>45582.456655092596</v>
      </c>
      <c r="P2286" t="s">
        <v>122</v>
      </c>
    </row>
    <row r="2287" spans="1:16" x14ac:dyDescent="0.3">
      <c r="A2287" t="s">
        <v>25</v>
      </c>
      <c r="B2287" s="1">
        <v>45582.456655092596</v>
      </c>
      <c r="C2287" t="str">
        <f t="shared" si="437"/>
        <v>41</v>
      </c>
      <c r="D2287" t="s">
        <v>120</v>
      </c>
      <c r="E2287" t="s">
        <v>116</v>
      </c>
      <c r="F2287" t="s">
        <v>117</v>
      </c>
      <c r="H2287" t="s">
        <v>645</v>
      </c>
      <c r="I2287" t="str">
        <f>"101620000470812"</f>
        <v>101620000470812</v>
      </c>
      <c r="J2287" t="str">
        <f t="shared" si="438"/>
        <v>514867</v>
      </c>
      <c r="K2287" t="s">
        <v>16</v>
      </c>
      <c r="L2287">
        <v>49</v>
      </c>
      <c r="M2287">
        <v>49</v>
      </c>
      <c r="N2287">
        <v>0</v>
      </c>
      <c r="O2287" s="1">
        <v>45582.456655092596</v>
      </c>
      <c r="P2287" t="s">
        <v>122</v>
      </c>
    </row>
    <row r="2288" spans="1:16" x14ac:dyDescent="0.3">
      <c r="A2288" t="s">
        <v>25</v>
      </c>
      <c r="B2288" s="1">
        <v>45582.456643518519</v>
      </c>
      <c r="C2288" t="str">
        <f t="shared" si="437"/>
        <v>41</v>
      </c>
      <c r="D2288" t="s">
        <v>120</v>
      </c>
      <c r="E2288" t="s">
        <v>116</v>
      </c>
      <c r="F2288" t="s">
        <v>117</v>
      </c>
      <c r="H2288" t="s">
        <v>645</v>
      </c>
      <c r="I2288" t="str">
        <f>"101620000471218"</f>
        <v>101620000471218</v>
      </c>
      <c r="J2288" t="str">
        <f t="shared" si="438"/>
        <v>514867</v>
      </c>
      <c r="K2288" t="s">
        <v>16</v>
      </c>
      <c r="L2288">
        <v>49</v>
      </c>
      <c r="M2288">
        <v>49</v>
      </c>
      <c r="N2288">
        <v>0</v>
      </c>
      <c r="O2288" s="1">
        <v>45582.456643518519</v>
      </c>
      <c r="P2288" t="s">
        <v>122</v>
      </c>
    </row>
    <row r="2289" spans="1:16" x14ac:dyDescent="0.3">
      <c r="A2289" t="s">
        <v>25</v>
      </c>
      <c r="B2289" s="1">
        <v>45582.45648148148</v>
      </c>
      <c r="C2289" t="str">
        <f>"38"</f>
        <v>38</v>
      </c>
      <c r="D2289" t="s">
        <v>115</v>
      </c>
      <c r="E2289" t="s">
        <v>116</v>
      </c>
      <c r="F2289" t="s">
        <v>117</v>
      </c>
      <c r="H2289" t="s">
        <v>646</v>
      </c>
      <c r="L2289">
        <v>0</v>
      </c>
      <c r="M2289">
        <v>0</v>
      </c>
      <c r="N2289">
        <v>0</v>
      </c>
      <c r="O2289" s="1">
        <v>45582.45648148148</v>
      </c>
      <c r="P2289" t="s">
        <v>392</v>
      </c>
    </row>
    <row r="2290" spans="1:16" x14ac:dyDescent="0.3">
      <c r="A2290" t="s">
        <v>25</v>
      </c>
      <c r="B2290" s="1">
        <v>45582.456469907411</v>
      </c>
      <c r="C2290" t="str">
        <f t="shared" ref="C2290:C2296" si="439">"41"</f>
        <v>41</v>
      </c>
      <c r="D2290" t="s">
        <v>120</v>
      </c>
      <c r="E2290" t="s">
        <v>116</v>
      </c>
      <c r="F2290" t="s">
        <v>117</v>
      </c>
      <c r="H2290" t="s">
        <v>646</v>
      </c>
      <c r="I2290" t="str">
        <f>"101050002024715"</f>
        <v>101050002024715</v>
      </c>
      <c r="J2290" t="str">
        <f t="shared" ref="J2290:J2296" si="440">"514866"</f>
        <v>514866</v>
      </c>
      <c r="K2290" t="s">
        <v>14</v>
      </c>
      <c r="L2290">
        <v>49</v>
      </c>
      <c r="M2290">
        <v>49</v>
      </c>
      <c r="N2290">
        <v>0</v>
      </c>
      <c r="O2290" s="1">
        <v>45582.456469907411</v>
      </c>
      <c r="P2290" t="s">
        <v>392</v>
      </c>
    </row>
    <row r="2291" spans="1:16" x14ac:dyDescent="0.3">
      <c r="A2291" t="s">
        <v>25</v>
      </c>
      <c r="B2291" s="1">
        <v>45582.456469907411</v>
      </c>
      <c r="C2291" t="str">
        <f t="shared" si="439"/>
        <v>41</v>
      </c>
      <c r="D2291" t="s">
        <v>120</v>
      </c>
      <c r="E2291" t="s">
        <v>116</v>
      </c>
      <c r="F2291" t="s">
        <v>117</v>
      </c>
      <c r="H2291" t="s">
        <v>646</v>
      </c>
      <c r="I2291" t="str">
        <f>"101050002024714"</f>
        <v>101050002024714</v>
      </c>
      <c r="J2291" t="str">
        <f t="shared" si="440"/>
        <v>514866</v>
      </c>
      <c r="K2291" t="s">
        <v>14</v>
      </c>
      <c r="L2291">
        <v>49</v>
      </c>
      <c r="M2291">
        <v>49</v>
      </c>
      <c r="N2291">
        <v>0</v>
      </c>
      <c r="O2291" s="1">
        <v>45582.456469907411</v>
      </c>
      <c r="P2291" t="s">
        <v>392</v>
      </c>
    </row>
    <row r="2292" spans="1:16" x14ac:dyDescent="0.3">
      <c r="A2292" t="s">
        <v>25</v>
      </c>
      <c r="B2292" s="1">
        <v>45582.456469907411</v>
      </c>
      <c r="C2292" t="str">
        <f t="shared" si="439"/>
        <v>41</v>
      </c>
      <c r="D2292" t="s">
        <v>120</v>
      </c>
      <c r="E2292" t="s">
        <v>116</v>
      </c>
      <c r="F2292" t="s">
        <v>117</v>
      </c>
      <c r="H2292" t="s">
        <v>646</v>
      </c>
      <c r="I2292" t="str">
        <f>"101050002024691"</f>
        <v>101050002024691</v>
      </c>
      <c r="J2292" t="str">
        <f t="shared" si="440"/>
        <v>514866</v>
      </c>
      <c r="K2292" t="s">
        <v>14</v>
      </c>
      <c r="L2292">
        <v>49</v>
      </c>
      <c r="M2292">
        <v>49</v>
      </c>
      <c r="N2292">
        <v>0</v>
      </c>
      <c r="O2292" s="1">
        <v>45582.456469907411</v>
      </c>
      <c r="P2292" t="s">
        <v>392</v>
      </c>
    </row>
    <row r="2293" spans="1:16" x14ac:dyDescent="0.3">
      <c r="A2293" t="s">
        <v>25</v>
      </c>
      <c r="B2293" s="1">
        <v>45582.456469907411</v>
      </c>
      <c r="C2293" t="str">
        <f t="shared" si="439"/>
        <v>41</v>
      </c>
      <c r="D2293" t="s">
        <v>120</v>
      </c>
      <c r="E2293" t="s">
        <v>116</v>
      </c>
      <c r="F2293" t="s">
        <v>117</v>
      </c>
      <c r="H2293" t="s">
        <v>646</v>
      </c>
      <c r="I2293" t="str">
        <f>"101050002024891"</f>
        <v>101050002024891</v>
      </c>
      <c r="J2293" t="str">
        <f t="shared" si="440"/>
        <v>514866</v>
      </c>
      <c r="K2293" t="s">
        <v>14</v>
      </c>
      <c r="L2293">
        <v>49</v>
      </c>
      <c r="M2293">
        <v>49</v>
      </c>
      <c r="N2293">
        <v>0</v>
      </c>
      <c r="O2293" s="1">
        <v>45582.456469907411</v>
      </c>
      <c r="P2293" t="s">
        <v>392</v>
      </c>
    </row>
    <row r="2294" spans="1:16" x14ac:dyDescent="0.3">
      <c r="A2294" t="s">
        <v>25</v>
      </c>
      <c r="B2294" s="1">
        <v>45582.456469907411</v>
      </c>
      <c r="C2294" t="str">
        <f t="shared" si="439"/>
        <v>41</v>
      </c>
      <c r="D2294" t="s">
        <v>120</v>
      </c>
      <c r="E2294" t="s">
        <v>116</v>
      </c>
      <c r="F2294" t="s">
        <v>117</v>
      </c>
      <c r="H2294" t="s">
        <v>646</v>
      </c>
      <c r="I2294" t="str">
        <f>"101050002024609"</f>
        <v>101050002024609</v>
      </c>
      <c r="J2294" t="str">
        <f t="shared" si="440"/>
        <v>514866</v>
      </c>
      <c r="K2294" t="s">
        <v>14</v>
      </c>
      <c r="L2294">
        <v>49</v>
      </c>
      <c r="M2294">
        <v>49</v>
      </c>
      <c r="N2294">
        <v>0</v>
      </c>
      <c r="O2294" s="1">
        <v>45582.456469907411</v>
      </c>
      <c r="P2294" t="s">
        <v>392</v>
      </c>
    </row>
    <row r="2295" spans="1:16" x14ac:dyDescent="0.3">
      <c r="A2295" t="s">
        <v>25</v>
      </c>
      <c r="B2295" s="1">
        <v>45582.456469907411</v>
      </c>
      <c r="C2295" t="str">
        <f t="shared" si="439"/>
        <v>41</v>
      </c>
      <c r="D2295" t="s">
        <v>120</v>
      </c>
      <c r="E2295" t="s">
        <v>116</v>
      </c>
      <c r="F2295" t="s">
        <v>117</v>
      </c>
      <c r="H2295" t="s">
        <v>646</v>
      </c>
      <c r="I2295" t="str">
        <f>"101050002024874"</f>
        <v>101050002024874</v>
      </c>
      <c r="J2295" t="str">
        <f t="shared" si="440"/>
        <v>514866</v>
      </c>
      <c r="K2295" t="s">
        <v>14</v>
      </c>
      <c r="L2295">
        <v>49</v>
      </c>
      <c r="M2295">
        <v>49</v>
      </c>
      <c r="N2295">
        <v>0</v>
      </c>
      <c r="O2295" s="1">
        <v>45582.456469907411</v>
      </c>
      <c r="P2295" t="s">
        <v>392</v>
      </c>
    </row>
    <row r="2296" spans="1:16" x14ac:dyDescent="0.3">
      <c r="A2296" t="s">
        <v>25</v>
      </c>
      <c r="B2296" s="1">
        <v>45582.456469907411</v>
      </c>
      <c r="C2296" t="str">
        <f t="shared" si="439"/>
        <v>41</v>
      </c>
      <c r="D2296" t="s">
        <v>120</v>
      </c>
      <c r="E2296" t="s">
        <v>116</v>
      </c>
      <c r="F2296" t="s">
        <v>117</v>
      </c>
      <c r="H2296" t="s">
        <v>646</v>
      </c>
      <c r="I2296" t="str">
        <f>"101050002024146"</f>
        <v>101050002024146</v>
      </c>
      <c r="J2296" t="str">
        <f t="shared" si="440"/>
        <v>514866</v>
      </c>
      <c r="K2296" t="s">
        <v>14</v>
      </c>
      <c r="L2296">
        <v>49</v>
      </c>
      <c r="M2296">
        <v>49</v>
      </c>
      <c r="N2296">
        <v>0</v>
      </c>
      <c r="O2296" s="1">
        <v>45582.456469907411</v>
      </c>
      <c r="P2296" t="s">
        <v>392</v>
      </c>
    </row>
    <row r="2297" spans="1:16" x14ac:dyDescent="0.3">
      <c r="A2297" t="s">
        <v>25</v>
      </c>
      <c r="B2297" s="1">
        <v>45582.455949074072</v>
      </c>
      <c r="C2297" t="str">
        <f>"38"</f>
        <v>38</v>
      </c>
      <c r="D2297" t="s">
        <v>115</v>
      </c>
      <c r="E2297" t="s">
        <v>116</v>
      </c>
      <c r="F2297" t="s">
        <v>117</v>
      </c>
      <c r="H2297" t="s">
        <v>647</v>
      </c>
      <c r="L2297">
        <v>0</v>
      </c>
      <c r="M2297">
        <v>0</v>
      </c>
      <c r="N2297">
        <v>0</v>
      </c>
      <c r="O2297" s="1">
        <v>45582.455949074072</v>
      </c>
      <c r="P2297" t="s">
        <v>119</v>
      </c>
    </row>
    <row r="2298" spans="1:16" x14ac:dyDescent="0.3">
      <c r="A2298" t="s">
        <v>25</v>
      </c>
      <c r="B2298" s="1">
        <v>45582.455949074072</v>
      </c>
      <c r="C2298" t="str">
        <f t="shared" ref="C2298:C2303" si="441">"41"</f>
        <v>41</v>
      </c>
      <c r="D2298" t="s">
        <v>120</v>
      </c>
      <c r="E2298" t="s">
        <v>116</v>
      </c>
      <c r="F2298" t="s">
        <v>117</v>
      </c>
      <c r="H2298" t="s">
        <v>647</v>
      </c>
      <c r="I2298" t="str">
        <f>"101570001110654"</f>
        <v>101570001110654</v>
      </c>
      <c r="J2298" t="str">
        <f t="shared" ref="J2298:J2303" si="442">"125031"</f>
        <v>125031</v>
      </c>
      <c r="K2298" t="s">
        <v>38</v>
      </c>
      <c r="L2298">
        <v>49</v>
      </c>
      <c r="M2298">
        <v>49</v>
      </c>
      <c r="N2298">
        <v>0</v>
      </c>
      <c r="O2298" s="1">
        <v>45582.455949074072</v>
      </c>
      <c r="P2298" t="s">
        <v>119</v>
      </c>
    </row>
    <row r="2299" spans="1:16" x14ac:dyDescent="0.3">
      <c r="A2299" t="s">
        <v>25</v>
      </c>
      <c r="B2299" s="1">
        <v>45582.455949074072</v>
      </c>
      <c r="C2299" t="str">
        <f t="shared" si="441"/>
        <v>41</v>
      </c>
      <c r="D2299" t="s">
        <v>120</v>
      </c>
      <c r="E2299" t="s">
        <v>116</v>
      </c>
      <c r="F2299" t="s">
        <v>117</v>
      </c>
      <c r="H2299" t="s">
        <v>647</v>
      </c>
      <c r="I2299" t="str">
        <f>"101570001110655"</f>
        <v>101570001110655</v>
      </c>
      <c r="J2299" t="str">
        <f t="shared" si="442"/>
        <v>125031</v>
      </c>
      <c r="K2299" t="s">
        <v>38</v>
      </c>
      <c r="L2299">
        <v>49</v>
      </c>
      <c r="M2299">
        <v>49</v>
      </c>
      <c r="N2299">
        <v>0</v>
      </c>
      <c r="O2299" s="1">
        <v>45582.455949074072</v>
      </c>
      <c r="P2299" t="s">
        <v>119</v>
      </c>
    </row>
    <row r="2300" spans="1:16" x14ac:dyDescent="0.3">
      <c r="A2300" t="s">
        <v>25</v>
      </c>
      <c r="B2300" s="1">
        <v>45582.455949074072</v>
      </c>
      <c r="C2300" t="str">
        <f t="shared" si="441"/>
        <v>41</v>
      </c>
      <c r="D2300" t="s">
        <v>120</v>
      </c>
      <c r="E2300" t="s">
        <v>116</v>
      </c>
      <c r="F2300" t="s">
        <v>117</v>
      </c>
      <c r="H2300" t="s">
        <v>647</v>
      </c>
      <c r="I2300" t="str">
        <f>"101570001110653"</f>
        <v>101570001110653</v>
      </c>
      <c r="J2300" t="str">
        <f t="shared" si="442"/>
        <v>125031</v>
      </c>
      <c r="K2300" t="s">
        <v>38</v>
      </c>
      <c r="L2300">
        <v>49</v>
      </c>
      <c r="M2300">
        <v>49</v>
      </c>
      <c r="N2300">
        <v>0</v>
      </c>
      <c r="O2300" s="1">
        <v>45582.455949074072</v>
      </c>
      <c r="P2300" t="s">
        <v>119</v>
      </c>
    </row>
    <row r="2301" spans="1:16" x14ac:dyDescent="0.3">
      <c r="A2301" t="s">
        <v>25</v>
      </c>
      <c r="B2301" s="1">
        <v>45582.455937500003</v>
      </c>
      <c r="C2301" t="str">
        <f t="shared" si="441"/>
        <v>41</v>
      </c>
      <c r="D2301" t="s">
        <v>120</v>
      </c>
      <c r="E2301" t="s">
        <v>116</v>
      </c>
      <c r="F2301" t="s">
        <v>117</v>
      </c>
      <c r="H2301" t="s">
        <v>647</v>
      </c>
      <c r="I2301" t="str">
        <f>"101570001110706"</f>
        <v>101570001110706</v>
      </c>
      <c r="J2301" t="str">
        <f t="shared" si="442"/>
        <v>125031</v>
      </c>
      <c r="K2301" t="s">
        <v>38</v>
      </c>
      <c r="L2301">
        <v>49</v>
      </c>
      <c r="M2301">
        <v>49</v>
      </c>
      <c r="N2301">
        <v>0</v>
      </c>
      <c r="O2301" s="1">
        <v>45582.455937500003</v>
      </c>
      <c r="P2301" t="s">
        <v>119</v>
      </c>
    </row>
    <row r="2302" spans="1:16" x14ac:dyDescent="0.3">
      <c r="A2302" t="s">
        <v>25</v>
      </c>
      <c r="B2302" s="1">
        <v>45582.455937500003</v>
      </c>
      <c r="C2302" t="str">
        <f t="shared" si="441"/>
        <v>41</v>
      </c>
      <c r="D2302" t="s">
        <v>120</v>
      </c>
      <c r="E2302" t="s">
        <v>116</v>
      </c>
      <c r="F2302" t="s">
        <v>117</v>
      </c>
      <c r="H2302" t="s">
        <v>647</v>
      </c>
      <c r="I2302" t="str">
        <f>"101570001110080"</f>
        <v>101570001110080</v>
      </c>
      <c r="J2302" t="str">
        <f t="shared" si="442"/>
        <v>125031</v>
      </c>
      <c r="K2302" t="s">
        <v>38</v>
      </c>
      <c r="L2302">
        <v>49</v>
      </c>
      <c r="M2302">
        <v>49</v>
      </c>
      <c r="N2302">
        <v>0</v>
      </c>
      <c r="O2302" s="1">
        <v>45582.455937500003</v>
      </c>
      <c r="P2302" t="s">
        <v>119</v>
      </c>
    </row>
    <row r="2303" spans="1:16" x14ac:dyDescent="0.3">
      <c r="A2303" t="s">
        <v>25</v>
      </c>
      <c r="B2303" s="1">
        <v>45582.455937500003</v>
      </c>
      <c r="C2303" t="str">
        <f t="shared" si="441"/>
        <v>41</v>
      </c>
      <c r="D2303" t="s">
        <v>120</v>
      </c>
      <c r="E2303" t="s">
        <v>116</v>
      </c>
      <c r="F2303" t="s">
        <v>117</v>
      </c>
      <c r="H2303" t="s">
        <v>647</v>
      </c>
      <c r="I2303" t="str">
        <f>"101570001110083"</f>
        <v>101570001110083</v>
      </c>
      <c r="J2303" t="str">
        <f t="shared" si="442"/>
        <v>125031</v>
      </c>
      <c r="K2303" t="s">
        <v>38</v>
      </c>
      <c r="L2303">
        <v>49</v>
      </c>
      <c r="M2303">
        <v>49</v>
      </c>
      <c r="N2303">
        <v>0</v>
      </c>
      <c r="O2303" s="1">
        <v>45582.455937500003</v>
      </c>
      <c r="P2303" t="s">
        <v>119</v>
      </c>
    </row>
    <row r="2304" spans="1:16" x14ac:dyDescent="0.3">
      <c r="A2304" t="s">
        <v>25</v>
      </c>
      <c r="B2304" s="1">
        <v>45582.455497685187</v>
      </c>
      <c r="C2304" t="str">
        <f>"38"</f>
        <v>38</v>
      </c>
      <c r="D2304" t="s">
        <v>115</v>
      </c>
      <c r="E2304" t="s">
        <v>116</v>
      </c>
      <c r="F2304" t="s">
        <v>117</v>
      </c>
      <c r="H2304" t="s">
        <v>648</v>
      </c>
      <c r="L2304">
        <v>0</v>
      </c>
      <c r="M2304">
        <v>0</v>
      </c>
      <c r="N2304">
        <v>0</v>
      </c>
      <c r="O2304" s="1">
        <v>45582.455497685187</v>
      </c>
      <c r="P2304" t="s">
        <v>122</v>
      </c>
    </row>
    <row r="2305" spans="1:16" x14ac:dyDescent="0.3">
      <c r="A2305" t="s">
        <v>25</v>
      </c>
      <c r="B2305" s="1">
        <v>45582.45548611111</v>
      </c>
      <c r="C2305" t="str">
        <f>"41"</f>
        <v>41</v>
      </c>
      <c r="D2305" t="s">
        <v>120</v>
      </c>
      <c r="E2305" t="s">
        <v>116</v>
      </c>
      <c r="F2305" t="s">
        <v>117</v>
      </c>
      <c r="H2305" t="s">
        <v>648</v>
      </c>
      <c r="I2305" t="str">
        <f>"101570001111013"</f>
        <v>101570001111013</v>
      </c>
      <c r="J2305" t="str">
        <f>"126312"</f>
        <v>126312</v>
      </c>
      <c r="K2305" t="s">
        <v>44</v>
      </c>
      <c r="L2305">
        <v>49</v>
      </c>
      <c r="M2305">
        <v>49</v>
      </c>
      <c r="N2305">
        <v>0</v>
      </c>
      <c r="O2305" s="1">
        <v>45582.45548611111</v>
      </c>
      <c r="P2305" t="s">
        <v>122</v>
      </c>
    </row>
    <row r="2306" spans="1:16" x14ac:dyDescent="0.3">
      <c r="A2306" t="s">
        <v>25</v>
      </c>
      <c r="B2306" s="1">
        <v>45582.45548611111</v>
      </c>
      <c r="C2306" t="str">
        <f>"41"</f>
        <v>41</v>
      </c>
      <c r="D2306" t="s">
        <v>120</v>
      </c>
      <c r="E2306" t="s">
        <v>116</v>
      </c>
      <c r="F2306" t="s">
        <v>117</v>
      </c>
      <c r="H2306" t="s">
        <v>648</v>
      </c>
      <c r="I2306" t="str">
        <f>"101570001111014"</f>
        <v>101570001111014</v>
      </c>
      <c r="J2306" t="str">
        <f>"126312"</f>
        <v>126312</v>
      </c>
      <c r="K2306" t="s">
        <v>44</v>
      </c>
      <c r="L2306">
        <v>49</v>
      </c>
      <c r="M2306">
        <v>49</v>
      </c>
      <c r="N2306">
        <v>0</v>
      </c>
      <c r="O2306" s="1">
        <v>45582.45548611111</v>
      </c>
      <c r="P2306" t="s">
        <v>122</v>
      </c>
    </row>
    <row r="2307" spans="1:16" x14ac:dyDescent="0.3">
      <c r="A2307" t="s">
        <v>25</v>
      </c>
      <c r="B2307" s="1">
        <v>45582.45548611111</v>
      </c>
      <c r="C2307" t="str">
        <f>"41"</f>
        <v>41</v>
      </c>
      <c r="D2307" t="s">
        <v>120</v>
      </c>
      <c r="E2307" t="s">
        <v>116</v>
      </c>
      <c r="F2307" t="s">
        <v>117</v>
      </c>
      <c r="H2307" t="s">
        <v>648</v>
      </c>
      <c r="I2307" t="str">
        <f>"101570001110946"</f>
        <v>101570001110946</v>
      </c>
      <c r="J2307" t="str">
        <f>"126312"</f>
        <v>126312</v>
      </c>
      <c r="K2307" t="s">
        <v>44</v>
      </c>
      <c r="L2307">
        <v>49</v>
      </c>
      <c r="M2307">
        <v>49</v>
      </c>
      <c r="N2307">
        <v>0</v>
      </c>
      <c r="O2307" s="1">
        <v>45582.45548611111</v>
      </c>
      <c r="P2307" t="s">
        <v>122</v>
      </c>
    </row>
    <row r="2308" spans="1:16" x14ac:dyDescent="0.3">
      <c r="A2308" t="s">
        <v>25</v>
      </c>
      <c r="B2308" s="1">
        <v>45582.45548611111</v>
      </c>
      <c r="C2308" t="str">
        <f>"41"</f>
        <v>41</v>
      </c>
      <c r="D2308" t="s">
        <v>120</v>
      </c>
      <c r="E2308" t="s">
        <v>116</v>
      </c>
      <c r="F2308" t="s">
        <v>117</v>
      </c>
      <c r="H2308" t="s">
        <v>648</v>
      </c>
      <c r="I2308" t="str">
        <f>"101570001111015"</f>
        <v>101570001111015</v>
      </c>
      <c r="J2308" t="str">
        <f>"126312"</f>
        <v>126312</v>
      </c>
      <c r="K2308" t="s">
        <v>44</v>
      </c>
      <c r="L2308">
        <v>49</v>
      </c>
      <c r="M2308">
        <v>49</v>
      </c>
      <c r="N2308">
        <v>0</v>
      </c>
      <c r="O2308" s="1">
        <v>45582.45548611111</v>
      </c>
      <c r="P2308" t="s">
        <v>122</v>
      </c>
    </row>
    <row r="2309" spans="1:16" x14ac:dyDescent="0.3">
      <c r="A2309" t="s">
        <v>25</v>
      </c>
      <c r="B2309" s="1">
        <v>45582.45548611111</v>
      </c>
      <c r="C2309" t="str">
        <f>"41"</f>
        <v>41</v>
      </c>
      <c r="D2309" t="s">
        <v>120</v>
      </c>
      <c r="E2309" t="s">
        <v>116</v>
      </c>
      <c r="F2309" t="s">
        <v>117</v>
      </c>
      <c r="H2309" t="s">
        <v>648</v>
      </c>
      <c r="I2309" t="str">
        <f>"101570001111247"</f>
        <v>101570001111247</v>
      </c>
      <c r="J2309" t="str">
        <f>"126312"</f>
        <v>126312</v>
      </c>
      <c r="K2309" t="s">
        <v>44</v>
      </c>
      <c r="L2309">
        <v>49</v>
      </c>
      <c r="M2309">
        <v>49</v>
      </c>
      <c r="N2309">
        <v>0</v>
      </c>
      <c r="O2309" s="1">
        <v>45582.45548611111</v>
      </c>
      <c r="P2309" t="s">
        <v>122</v>
      </c>
    </row>
    <row r="2310" spans="1:16" x14ac:dyDescent="0.3">
      <c r="A2310" t="s">
        <v>25</v>
      </c>
      <c r="B2310" s="1">
        <v>45582.45517361111</v>
      </c>
      <c r="C2310" t="str">
        <f>"38"</f>
        <v>38</v>
      </c>
      <c r="D2310" t="s">
        <v>115</v>
      </c>
      <c r="E2310" t="s">
        <v>116</v>
      </c>
      <c r="F2310" t="s">
        <v>117</v>
      </c>
      <c r="H2310" t="s">
        <v>649</v>
      </c>
      <c r="L2310">
        <v>0</v>
      </c>
      <c r="M2310">
        <v>0</v>
      </c>
      <c r="N2310">
        <v>0</v>
      </c>
      <c r="O2310" s="1">
        <v>45582.45517361111</v>
      </c>
      <c r="P2310" t="s">
        <v>125</v>
      </c>
    </row>
    <row r="2311" spans="1:16" x14ac:dyDescent="0.3">
      <c r="A2311" t="s">
        <v>25</v>
      </c>
      <c r="B2311" s="1">
        <v>45582.45517361111</v>
      </c>
      <c r="C2311" t="str">
        <f t="shared" ref="C2311:C2317" si="443">"41"</f>
        <v>41</v>
      </c>
      <c r="D2311" t="s">
        <v>120</v>
      </c>
      <c r="E2311" t="s">
        <v>116</v>
      </c>
      <c r="F2311" t="s">
        <v>117</v>
      </c>
      <c r="H2311" t="s">
        <v>649</v>
      </c>
      <c r="I2311" t="str">
        <f>"101570001110429"</f>
        <v>101570001110429</v>
      </c>
      <c r="J2311" t="str">
        <f t="shared" ref="J2311:J2317" si="444">"35549"</f>
        <v>35549</v>
      </c>
      <c r="K2311" t="s">
        <v>77</v>
      </c>
      <c r="L2311">
        <v>49</v>
      </c>
      <c r="M2311">
        <v>49</v>
      </c>
      <c r="N2311">
        <v>0</v>
      </c>
      <c r="O2311" s="1">
        <v>45582.45517361111</v>
      </c>
      <c r="P2311" t="s">
        <v>125</v>
      </c>
    </row>
    <row r="2312" spans="1:16" x14ac:dyDescent="0.3">
      <c r="A2312" t="s">
        <v>25</v>
      </c>
      <c r="B2312" s="1">
        <v>45582.45517361111</v>
      </c>
      <c r="C2312" t="str">
        <f t="shared" si="443"/>
        <v>41</v>
      </c>
      <c r="D2312" t="s">
        <v>120</v>
      </c>
      <c r="E2312" t="s">
        <v>116</v>
      </c>
      <c r="F2312" t="s">
        <v>117</v>
      </c>
      <c r="H2312" t="s">
        <v>649</v>
      </c>
      <c r="I2312" t="str">
        <f>"101570001110424"</f>
        <v>101570001110424</v>
      </c>
      <c r="J2312" t="str">
        <f t="shared" si="444"/>
        <v>35549</v>
      </c>
      <c r="K2312" t="s">
        <v>77</v>
      </c>
      <c r="L2312">
        <v>49</v>
      </c>
      <c r="M2312">
        <v>49</v>
      </c>
      <c r="N2312">
        <v>0</v>
      </c>
      <c r="O2312" s="1">
        <v>45582.45517361111</v>
      </c>
      <c r="P2312" t="s">
        <v>125</v>
      </c>
    </row>
    <row r="2313" spans="1:16" x14ac:dyDescent="0.3">
      <c r="A2313" t="s">
        <v>25</v>
      </c>
      <c r="B2313" s="1">
        <v>45582.45517361111</v>
      </c>
      <c r="C2313" t="str">
        <f t="shared" si="443"/>
        <v>41</v>
      </c>
      <c r="D2313" t="s">
        <v>120</v>
      </c>
      <c r="E2313" t="s">
        <v>116</v>
      </c>
      <c r="F2313" t="s">
        <v>117</v>
      </c>
      <c r="H2313" t="s">
        <v>649</v>
      </c>
      <c r="I2313" t="str">
        <f>"101570001110423"</f>
        <v>101570001110423</v>
      </c>
      <c r="J2313" t="str">
        <f t="shared" si="444"/>
        <v>35549</v>
      </c>
      <c r="K2313" t="s">
        <v>77</v>
      </c>
      <c r="L2313">
        <v>49</v>
      </c>
      <c r="M2313">
        <v>49</v>
      </c>
      <c r="N2313">
        <v>0</v>
      </c>
      <c r="O2313" s="1">
        <v>45582.45517361111</v>
      </c>
      <c r="P2313" t="s">
        <v>125</v>
      </c>
    </row>
    <row r="2314" spans="1:16" x14ac:dyDescent="0.3">
      <c r="A2314" t="s">
        <v>25</v>
      </c>
      <c r="B2314" s="1">
        <v>45582.45517361111</v>
      </c>
      <c r="C2314" t="str">
        <f t="shared" si="443"/>
        <v>41</v>
      </c>
      <c r="D2314" t="s">
        <v>120</v>
      </c>
      <c r="E2314" t="s">
        <v>116</v>
      </c>
      <c r="F2314" t="s">
        <v>117</v>
      </c>
      <c r="H2314" t="s">
        <v>649</v>
      </c>
      <c r="I2314" t="str">
        <f>"101570001110422"</f>
        <v>101570001110422</v>
      </c>
      <c r="J2314" t="str">
        <f t="shared" si="444"/>
        <v>35549</v>
      </c>
      <c r="K2314" t="s">
        <v>77</v>
      </c>
      <c r="L2314">
        <v>49</v>
      </c>
      <c r="M2314">
        <v>49</v>
      </c>
      <c r="N2314">
        <v>0</v>
      </c>
      <c r="O2314" s="1">
        <v>45582.45517361111</v>
      </c>
      <c r="P2314" t="s">
        <v>125</v>
      </c>
    </row>
    <row r="2315" spans="1:16" x14ac:dyDescent="0.3">
      <c r="A2315" t="s">
        <v>25</v>
      </c>
      <c r="B2315" s="1">
        <v>45582.45517361111</v>
      </c>
      <c r="C2315" t="str">
        <f t="shared" si="443"/>
        <v>41</v>
      </c>
      <c r="D2315" t="s">
        <v>120</v>
      </c>
      <c r="E2315" t="s">
        <v>116</v>
      </c>
      <c r="F2315" t="s">
        <v>117</v>
      </c>
      <c r="H2315" t="s">
        <v>649</v>
      </c>
      <c r="I2315" t="str">
        <f>"101570001110421"</f>
        <v>101570001110421</v>
      </c>
      <c r="J2315" t="str">
        <f t="shared" si="444"/>
        <v>35549</v>
      </c>
      <c r="K2315" t="s">
        <v>77</v>
      </c>
      <c r="L2315">
        <v>49</v>
      </c>
      <c r="M2315">
        <v>49</v>
      </c>
      <c r="N2315">
        <v>0</v>
      </c>
      <c r="O2315" s="1">
        <v>45582.45517361111</v>
      </c>
      <c r="P2315" t="s">
        <v>125</v>
      </c>
    </row>
    <row r="2316" spans="1:16" x14ac:dyDescent="0.3">
      <c r="A2316" t="s">
        <v>25</v>
      </c>
      <c r="B2316" s="1">
        <v>45582.45516203704</v>
      </c>
      <c r="C2316" t="str">
        <f t="shared" si="443"/>
        <v>41</v>
      </c>
      <c r="D2316" t="s">
        <v>120</v>
      </c>
      <c r="E2316" t="s">
        <v>116</v>
      </c>
      <c r="F2316" t="s">
        <v>117</v>
      </c>
      <c r="H2316" t="s">
        <v>649</v>
      </c>
      <c r="I2316" t="str">
        <f>"101570001110420"</f>
        <v>101570001110420</v>
      </c>
      <c r="J2316" t="str">
        <f t="shared" si="444"/>
        <v>35549</v>
      </c>
      <c r="K2316" t="s">
        <v>77</v>
      </c>
      <c r="L2316">
        <v>49</v>
      </c>
      <c r="M2316">
        <v>49</v>
      </c>
      <c r="N2316">
        <v>0</v>
      </c>
      <c r="O2316" s="1">
        <v>45582.45516203704</v>
      </c>
      <c r="P2316" t="s">
        <v>125</v>
      </c>
    </row>
    <row r="2317" spans="1:16" x14ac:dyDescent="0.3">
      <c r="A2317" t="s">
        <v>25</v>
      </c>
      <c r="B2317" s="1">
        <v>45582.45516203704</v>
      </c>
      <c r="C2317" t="str">
        <f t="shared" si="443"/>
        <v>41</v>
      </c>
      <c r="D2317" t="s">
        <v>120</v>
      </c>
      <c r="E2317" t="s">
        <v>116</v>
      </c>
      <c r="F2317" t="s">
        <v>117</v>
      </c>
      <c r="H2317" t="s">
        <v>649</v>
      </c>
      <c r="I2317" t="str">
        <f>"101570001110661"</f>
        <v>101570001110661</v>
      </c>
      <c r="J2317" t="str">
        <f t="shared" si="444"/>
        <v>35549</v>
      </c>
      <c r="K2317" t="s">
        <v>77</v>
      </c>
      <c r="L2317">
        <v>49</v>
      </c>
      <c r="M2317">
        <v>49</v>
      </c>
      <c r="N2317">
        <v>0</v>
      </c>
      <c r="O2317" s="1">
        <v>45582.45516203704</v>
      </c>
      <c r="P2317" t="s">
        <v>125</v>
      </c>
    </row>
    <row r="2318" spans="1:16" x14ac:dyDescent="0.3">
      <c r="A2318" t="s">
        <v>25</v>
      </c>
      <c r="B2318" s="1">
        <v>45582.454305555555</v>
      </c>
      <c r="C2318" t="str">
        <f>"38"</f>
        <v>38</v>
      </c>
      <c r="D2318" t="s">
        <v>115</v>
      </c>
      <c r="E2318" t="s">
        <v>116</v>
      </c>
      <c r="F2318" t="s">
        <v>117</v>
      </c>
      <c r="H2318" t="s">
        <v>650</v>
      </c>
      <c r="L2318">
        <v>0</v>
      </c>
      <c r="M2318">
        <v>0</v>
      </c>
      <c r="N2318">
        <v>0</v>
      </c>
      <c r="O2318" s="1">
        <v>45582.454305555555</v>
      </c>
      <c r="P2318" t="s">
        <v>392</v>
      </c>
    </row>
    <row r="2319" spans="1:16" x14ac:dyDescent="0.3">
      <c r="A2319" t="s">
        <v>25</v>
      </c>
      <c r="B2319" s="1">
        <v>45582.454305555555</v>
      </c>
      <c r="C2319" t="str">
        <f t="shared" ref="C2319:C2325" si="445">"41"</f>
        <v>41</v>
      </c>
      <c r="D2319" t="s">
        <v>120</v>
      </c>
      <c r="E2319" t="s">
        <v>116</v>
      </c>
      <c r="F2319" t="s">
        <v>117</v>
      </c>
      <c r="H2319" t="s">
        <v>650</v>
      </c>
      <c r="I2319" t="str">
        <f>"101050002014704"</f>
        <v>101050002014704</v>
      </c>
      <c r="J2319" t="str">
        <f t="shared" ref="J2319:J2325" si="446">"0800"</f>
        <v>0800</v>
      </c>
      <c r="K2319" t="s">
        <v>26</v>
      </c>
      <c r="L2319">
        <v>49</v>
      </c>
      <c r="M2319">
        <v>49</v>
      </c>
      <c r="N2319">
        <v>0</v>
      </c>
      <c r="O2319" s="1">
        <v>45582.454305555555</v>
      </c>
      <c r="P2319" t="s">
        <v>392</v>
      </c>
    </row>
    <row r="2320" spans="1:16" x14ac:dyDescent="0.3">
      <c r="A2320" t="s">
        <v>25</v>
      </c>
      <c r="B2320" s="1">
        <v>45582.454305555555</v>
      </c>
      <c r="C2320" t="str">
        <f t="shared" si="445"/>
        <v>41</v>
      </c>
      <c r="D2320" t="s">
        <v>120</v>
      </c>
      <c r="E2320" t="s">
        <v>116</v>
      </c>
      <c r="F2320" t="s">
        <v>117</v>
      </c>
      <c r="H2320" t="s">
        <v>650</v>
      </c>
      <c r="I2320" t="str">
        <f>"101050002015066"</f>
        <v>101050002015066</v>
      </c>
      <c r="J2320" t="str">
        <f t="shared" si="446"/>
        <v>0800</v>
      </c>
      <c r="K2320" t="s">
        <v>26</v>
      </c>
      <c r="L2320">
        <v>49</v>
      </c>
      <c r="M2320">
        <v>49</v>
      </c>
      <c r="N2320">
        <v>0</v>
      </c>
      <c r="O2320" s="1">
        <v>45582.454305555555</v>
      </c>
      <c r="P2320" t="s">
        <v>392</v>
      </c>
    </row>
    <row r="2321" spans="1:16" x14ac:dyDescent="0.3">
      <c r="A2321" t="s">
        <v>25</v>
      </c>
      <c r="B2321" s="1">
        <v>45582.454305555555</v>
      </c>
      <c r="C2321" t="str">
        <f t="shared" si="445"/>
        <v>41</v>
      </c>
      <c r="D2321" t="s">
        <v>120</v>
      </c>
      <c r="E2321" t="s">
        <v>116</v>
      </c>
      <c r="F2321" t="s">
        <v>117</v>
      </c>
      <c r="H2321" t="s">
        <v>650</v>
      </c>
      <c r="I2321" t="str">
        <f>"101050002014884"</f>
        <v>101050002014884</v>
      </c>
      <c r="J2321" t="str">
        <f t="shared" si="446"/>
        <v>0800</v>
      </c>
      <c r="K2321" t="s">
        <v>26</v>
      </c>
      <c r="L2321">
        <v>49</v>
      </c>
      <c r="M2321">
        <v>49</v>
      </c>
      <c r="N2321">
        <v>0</v>
      </c>
      <c r="O2321" s="1">
        <v>45582.454305555555</v>
      </c>
      <c r="P2321" t="s">
        <v>392</v>
      </c>
    </row>
    <row r="2322" spans="1:16" x14ac:dyDescent="0.3">
      <c r="A2322" t="s">
        <v>25</v>
      </c>
      <c r="B2322" s="1">
        <v>45582.454293981478</v>
      </c>
      <c r="C2322" t="str">
        <f t="shared" si="445"/>
        <v>41</v>
      </c>
      <c r="D2322" t="s">
        <v>120</v>
      </c>
      <c r="E2322" t="s">
        <v>116</v>
      </c>
      <c r="F2322" t="s">
        <v>117</v>
      </c>
      <c r="H2322" t="s">
        <v>650</v>
      </c>
      <c r="I2322" t="str">
        <f>"101050002015220"</f>
        <v>101050002015220</v>
      </c>
      <c r="J2322" t="str">
        <f t="shared" si="446"/>
        <v>0800</v>
      </c>
      <c r="K2322" t="s">
        <v>26</v>
      </c>
      <c r="L2322">
        <v>49</v>
      </c>
      <c r="M2322">
        <v>49</v>
      </c>
      <c r="N2322">
        <v>0</v>
      </c>
      <c r="O2322" s="1">
        <v>45582.454293981478</v>
      </c>
      <c r="P2322" t="s">
        <v>392</v>
      </c>
    </row>
    <row r="2323" spans="1:16" x14ac:dyDescent="0.3">
      <c r="A2323" t="s">
        <v>25</v>
      </c>
      <c r="B2323" s="1">
        <v>45582.454293981478</v>
      </c>
      <c r="C2323" t="str">
        <f t="shared" si="445"/>
        <v>41</v>
      </c>
      <c r="D2323" t="s">
        <v>120</v>
      </c>
      <c r="E2323" t="s">
        <v>116</v>
      </c>
      <c r="F2323" t="s">
        <v>117</v>
      </c>
      <c r="H2323" t="s">
        <v>650</v>
      </c>
      <c r="I2323" t="str">
        <f>"101050002014091"</f>
        <v>101050002014091</v>
      </c>
      <c r="J2323" t="str">
        <f t="shared" si="446"/>
        <v>0800</v>
      </c>
      <c r="K2323" t="s">
        <v>26</v>
      </c>
      <c r="L2323">
        <v>49</v>
      </c>
      <c r="M2323">
        <v>49</v>
      </c>
      <c r="N2323">
        <v>0</v>
      </c>
      <c r="O2323" s="1">
        <v>45582.454293981478</v>
      </c>
      <c r="P2323" t="s">
        <v>392</v>
      </c>
    </row>
    <row r="2324" spans="1:16" x14ac:dyDescent="0.3">
      <c r="A2324" t="s">
        <v>25</v>
      </c>
      <c r="B2324" s="1">
        <v>45582.454293981478</v>
      </c>
      <c r="C2324" t="str">
        <f t="shared" si="445"/>
        <v>41</v>
      </c>
      <c r="D2324" t="s">
        <v>120</v>
      </c>
      <c r="E2324" t="s">
        <v>116</v>
      </c>
      <c r="F2324" t="s">
        <v>117</v>
      </c>
      <c r="H2324" t="s">
        <v>650</v>
      </c>
      <c r="I2324" t="str">
        <f>"101050002014081"</f>
        <v>101050002014081</v>
      </c>
      <c r="J2324" t="str">
        <f t="shared" si="446"/>
        <v>0800</v>
      </c>
      <c r="K2324" t="s">
        <v>26</v>
      </c>
      <c r="L2324">
        <v>49</v>
      </c>
      <c r="M2324">
        <v>49</v>
      </c>
      <c r="N2324">
        <v>0</v>
      </c>
      <c r="O2324" s="1">
        <v>45582.454293981478</v>
      </c>
      <c r="P2324" t="s">
        <v>392</v>
      </c>
    </row>
    <row r="2325" spans="1:16" x14ac:dyDescent="0.3">
      <c r="A2325" t="s">
        <v>25</v>
      </c>
      <c r="B2325" s="1">
        <v>45582.454293981478</v>
      </c>
      <c r="C2325" t="str">
        <f t="shared" si="445"/>
        <v>41</v>
      </c>
      <c r="D2325" t="s">
        <v>120</v>
      </c>
      <c r="E2325" t="s">
        <v>116</v>
      </c>
      <c r="F2325" t="s">
        <v>117</v>
      </c>
      <c r="H2325" t="s">
        <v>650</v>
      </c>
      <c r="I2325" t="str">
        <f>"101050002014082"</f>
        <v>101050002014082</v>
      </c>
      <c r="J2325" t="str">
        <f t="shared" si="446"/>
        <v>0800</v>
      </c>
      <c r="K2325" t="s">
        <v>26</v>
      </c>
      <c r="L2325">
        <v>49</v>
      </c>
      <c r="M2325">
        <v>49</v>
      </c>
      <c r="N2325">
        <v>0</v>
      </c>
      <c r="O2325" s="1">
        <v>45582.454293981478</v>
      </c>
      <c r="P2325" t="s">
        <v>392</v>
      </c>
    </row>
    <row r="2326" spans="1:16" x14ac:dyDescent="0.3">
      <c r="A2326" t="s">
        <v>25</v>
      </c>
      <c r="B2326" s="1">
        <v>45582.453877314816</v>
      </c>
      <c r="C2326" t="str">
        <f>"38"</f>
        <v>38</v>
      </c>
      <c r="D2326" t="s">
        <v>115</v>
      </c>
      <c r="E2326" t="s">
        <v>116</v>
      </c>
      <c r="F2326" t="s">
        <v>117</v>
      </c>
      <c r="H2326" t="s">
        <v>651</v>
      </c>
      <c r="L2326">
        <v>0</v>
      </c>
      <c r="M2326">
        <v>0</v>
      </c>
      <c r="N2326">
        <v>0</v>
      </c>
      <c r="O2326" s="1">
        <v>45582.453877314816</v>
      </c>
      <c r="P2326" t="s">
        <v>119</v>
      </c>
    </row>
    <row r="2327" spans="1:16" x14ac:dyDescent="0.3">
      <c r="A2327" t="s">
        <v>25</v>
      </c>
      <c r="B2327" s="1">
        <v>45582.453877314816</v>
      </c>
      <c r="C2327" t="str">
        <f>"41"</f>
        <v>41</v>
      </c>
      <c r="D2327" t="s">
        <v>120</v>
      </c>
      <c r="E2327" t="s">
        <v>116</v>
      </c>
      <c r="F2327" t="s">
        <v>117</v>
      </c>
      <c r="H2327" t="s">
        <v>651</v>
      </c>
      <c r="I2327" t="str">
        <f>"101050001893931"</f>
        <v>101050001893931</v>
      </c>
      <c r="J2327" t="str">
        <f>"42126"</f>
        <v>42126</v>
      </c>
      <c r="K2327" t="s">
        <v>79</v>
      </c>
      <c r="L2327">
        <v>49</v>
      </c>
      <c r="M2327">
        <v>49</v>
      </c>
      <c r="N2327">
        <v>0</v>
      </c>
      <c r="O2327" s="1">
        <v>45582.453877314816</v>
      </c>
      <c r="P2327" t="s">
        <v>119</v>
      </c>
    </row>
    <row r="2328" spans="1:16" x14ac:dyDescent="0.3">
      <c r="A2328" t="s">
        <v>25</v>
      </c>
      <c r="B2328" s="1">
        <v>45582.453865740739</v>
      </c>
      <c r="C2328" t="str">
        <f>"41"</f>
        <v>41</v>
      </c>
      <c r="D2328" t="s">
        <v>120</v>
      </c>
      <c r="E2328" t="s">
        <v>116</v>
      </c>
      <c r="F2328" t="s">
        <v>117</v>
      </c>
      <c r="H2328" t="s">
        <v>651</v>
      </c>
      <c r="I2328" t="str">
        <f>"101050001894736"</f>
        <v>101050001894736</v>
      </c>
      <c r="J2328" t="str">
        <f>"42126"</f>
        <v>42126</v>
      </c>
      <c r="K2328" t="s">
        <v>79</v>
      </c>
      <c r="L2328">
        <v>49</v>
      </c>
      <c r="M2328">
        <v>49</v>
      </c>
      <c r="N2328">
        <v>0</v>
      </c>
      <c r="O2328" s="1">
        <v>45582.453865740739</v>
      </c>
      <c r="P2328" t="s">
        <v>119</v>
      </c>
    </row>
    <row r="2329" spans="1:16" x14ac:dyDescent="0.3">
      <c r="A2329" t="s">
        <v>25</v>
      </c>
      <c r="B2329" s="1">
        <v>45582.453865740739</v>
      </c>
      <c r="C2329" t="str">
        <f>"41"</f>
        <v>41</v>
      </c>
      <c r="D2329" t="s">
        <v>120</v>
      </c>
      <c r="E2329" t="s">
        <v>116</v>
      </c>
      <c r="F2329" t="s">
        <v>117</v>
      </c>
      <c r="H2329" t="s">
        <v>651</v>
      </c>
      <c r="I2329" t="str">
        <f>"101050001893124"</f>
        <v>101050001893124</v>
      </c>
      <c r="J2329" t="str">
        <f>"42126"</f>
        <v>42126</v>
      </c>
      <c r="K2329" t="s">
        <v>79</v>
      </c>
      <c r="L2329">
        <v>49</v>
      </c>
      <c r="M2329">
        <v>49</v>
      </c>
      <c r="N2329">
        <v>0</v>
      </c>
      <c r="O2329" s="1">
        <v>45582.453865740739</v>
      </c>
      <c r="P2329" t="s">
        <v>119</v>
      </c>
    </row>
    <row r="2330" spans="1:16" x14ac:dyDescent="0.3">
      <c r="A2330" t="s">
        <v>25</v>
      </c>
      <c r="B2330" s="1">
        <v>45582.453865740739</v>
      </c>
      <c r="C2330" t="str">
        <f>"41"</f>
        <v>41</v>
      </c>
      <c r="D2330" t="s">
        <v>120</v>
      </c>
      <c r="E2330" t="s">
        <v>116</v>
      </c>
      <c r="F2330" t="s">
        <v>117</v>
      </c>
      <c r="H2330" t="s">
        <v>651</v>
      </c>
      <c r="I2330" t="str">
        <f>"101050001894547"</f>
        <v>101050001894547</v>
      </c>
      <c r="J2330" t="str">
        <f>"42126"</f>
        <v>42126</v>
      </c>
      <c r="K2330" t="s">
        <v>79</v>
      </c>
      <c r="L2330">
        <v>49</v>
      </c>
      <c r="M2330">
        <v>49</v>
      </c>
      <c r="N2330">
        <v>0</v>
      </c>
      <c r="O2330" s="1">
        <v>45582.453865740739</v>
      </c>
      <c r="P2330" t="s">
        <v>119</v>
      </c>
    </row>
    <row r="2331" spans="1:16" x14ac:dyDescent="0.3">
      <c r="A2331" t="s">
        <v>25</v>
      </c>
      <c r="B2331" s="1">
        <v>45582.452847222223</v>
      </c>
      <c r="C2331" t="str">
        <f>"38"</f>
        <v>38</v>
      </c>
      <c r="D2331" t="s">
        <v>115</v>
      </c>
      <c r="E2331" t="s">
        <v>116</v>
      </c>
      <c r="F2331" t="s">
        <v>117</v>
      </c>
      <c r="H2331" t="s">
        <v>652</v>
      </c>
      <c r="L2331">
        <v>0</v>
      </c>
      <c r="M2331">
        <v>0</v>
      </c>
      <c r="N2331">
        <v>0</v>
      </c>
      <c r="O2331" s="1">
        <v>45582.452847222223</v>
      </c>
      <c r="P2331" t="s">
        <v>125</v>
      </c>
    </row>
    <row r="2332" spans="1:16" x14ac:dyDescent="0.3">
      <c r="A2332" t="s">
        <v>25</v>
      </c>
      <c r="B2332" s="1">
        <v>45582.452847222223</v>
      </c>
      <c r="C2332" t="str">
        <f>"41"</f>
        <v>41</v>
      </c>
      <c r="D2332" t="s">
        <v>120</v>
      </c>
      <c r="E2332" t="s">
        <v>116</v>
      </c>
      <c r="F2332" t="s">
        <v>117</v>
      </c>
      <c r="H2332" t="s">
        <v>652</v>
      </c>
      <c r="I2332" t="str">
        <f>"101050002024739"</f>
        <v>101050002024739</v>
      </c>
      <c r="J2332" t="str">
        <f>"126475"</f>
        <v>126475</v>
      </c>
      <c r="K2332" t="s">
        <v>22</v>
      </c>
      <c r="L2332">
        <v>49</v>
      </c>
      <c r="M2332">
        <v>49</v>
      </c>
      <c r="N2332">
        <v>0</v>
      </c>
      <c r="O2332" s="1">
        <v>45582.452847222223</v>
      </c>
      <c r="P2332" t="s">
        <v>125</v>
      </c>
    </row>
    <row r="2333" spans="1:16" x14ac:dyDescent="0.3">
      <c r="A2333" t="s">
        <v>25</v>
      </c>
      <c r="B2333" s="1">
        <v>45582.452847222223</v>
      </c>
      <c r="C2333" t="str">
        <f>"41"</f>
        <v>41</v>
      </c>
      <c r="D2333" t="s">
        <v>120</v>
      </c>
      <c r="E2333" t="s">
        <v>116</v>
      </c>
      <c r="F2333" t="s">
        <v>117</v>
      </c>
      <c r="H2333" t="s">
        <v>652</v>
      </c>
      <c r="I2333" t="str">
        <f>"101050002024956"</f>
        <v>101050002024956</v>
      </c>
      <c r="J2333" t="str">
        <f>"126475"</f>
        <v>126475</v>
      </c>
      <c r="K2333" t="s">
        <v>22</v>
      </c>
      <c r="L2333">
        <v>49</v>
      </c>
      <c r="M2333">
        <v>49</v>
      </c>
      <c r="N2333">
        <v>0</v>
      </c>
      <c r="O2333" s="1">
        <v>45582.452847222223</v>
      </c>
      <c r="P2333" t="s">
        <v>125</v>
      </c>
    </row>
    <row r="2334" spans="1:16" x14ac:dyDescent="0.3">
      <c r="A2334" t="s">
        <v>25</v>
      </c>
      <c r="B2334" s="1">
        <v>45582.452847222223</v>
      </c>
      <c r="C2334" t="str">
        <f>"41"</f>
        <v>41</v>
      </c>
      <c r="D2334" t="s">
        <v>120</v>
      </c>
      <c r="E2334" t="s">
        <v>116</v>
      </c>
      <c r="F2334" t="s">
        <v>117</v>
      </c>
      <c r="H2334" t="s">
        <v>652</v>
      </c>
      <c r="I2334" t="str">
        <f>"101050002024957"</f>
        <v>101050002024957</v>
      </c>
      <c r="J2334" t="str">
        <f>"126475"</f>
        <v>126475</v>
      </c>
      <c r="K2334" t="s">
        <v>22</v>
      </c>
      <c r="L2334">
        <v>49</v>
      </c>
      <c r="M2334">
        <v>49</v>
      </c>
      <c r="N2334">
        <v>0</v>
      </c>
      <c r="O2334" s="1">
        <v>45582.452847222223</v>
      </c>
      <c r="P2334" t="s">
        <v>125</v>
      </c>
    </row>
    <row r="2335" spans="1:16" x14ac:dyDescent="0.3">
      <c r="A2335" t="s">
        <v>25</v>
      </c>
      <c r="B2335" s="1">
        <v>45582.452384259261</v>
      </c>
      <c r="C2335" t="str">
        <f>"38"</f>
        <v>38</v>
      </c>
      <c r="D2335" t="s">
        <v>115</v>
      </c>
      <c r="E2335" t="s">
        <v>116</v>
      </c>
      <c r="F2335" t="s">
        <v>117</v>
      </c>
      <c r="H2335" t="s">
        <v>653</v>
      </c>
      <c r="L2335">
        <v>0</v>
      </c>
      <c r="M2335">
        <v>0</v>
      </c>
      <c r="N2335">
        <v>0</v>
      </c>
      <c r="O2335" s="1">
        <v>45582.452384259261</v>
      </c>
      <c r="P2335" t="s">
        <v>125</v>
      </c>
    </row>
    <row r="2336" spans="1:16" x14ac:dyDescent="0.3">
      <c r="A2336" t="s">
        <v>25</v>
      </c>
      <c r="B2336" s="1">
        <v>45582.452372685184</v>
      </c>
      <c r="C2336" t="str">
        <f>"41"</f>
        <v>41</v>
      </c>
      <c r="D2336" t="s">
        <v>120</v>
      </c>
      <c r="E2336" t="s">
        <v>116</v>
      </c>
      <c r="F2336" t="s">
        <v>117</v>
      </c>
      <c r="H2336" t="s">
        <v>653</v>
      </c>
      <c r="I2336" t="str">
        <f>"101050002011960"</f>
        <v>101050002011960</v>
      </c>
      <c r="J2336" t="str">
        <f>"128026"</f>
        <v>128026</v>
      </c>
      <c r="K2336" t="s">
        <v>63</v>
      </c>
      <c r="L2336">
        <v>49</v>
      </c>
      <c r="M2336">
        <v>49</v>
      </c>
      <c r="N2336">
        <v>0</v>
      </c>
      <c r="O2336" s="1">
        <v>45582.452372685184</v>
      </c>
      <c r="P2336" t="s">
        <v>125</v>
      </c>
    </row>
    <row r="2337" spans="1:16" x14ac:dyDescent="0.3">
      <c r="A2337" t="s">
        <v>25</v>
      </c>
      <c r="B2337" s="1">
        <v>45582.452372685184</v>
      </c>
      <c r="C2337" t="str">
        <f>"41"</f>
        <v>41</v>
      </c>
      <c r="D2337" t="s">
        <v>120</v>
      </c>
      <c r="E2337" t="s">
        <v>116</v>
      </c>
      <c r="F2337" t="s">
        <v>117</v>
      </c>
      <c r="H2337" t="s">
        <v>653</v>
      </c>
      <c r="I2337" t="str">
        <f>"101050002012084"</f>
        <v>101050002012084</v>
      </c>
      <c r="J2337" t="str">
        <f>"128026"</f>
        <v>128026</v>
      </c>
      <c r="K2337" t="s">
        <v>63</v>
      </c>
      <c r="L2337">
        <v>49</v>
      </c>
      <c r="M2337">
        <v>49</v>
      </c>
      <c r="N2337">
        <v>0</v>
      </c>
      <c r="O2337" s="1">
        <v>45582.452372685184</v>
      </c>
      <c r="P2337" t="s">
        <v>125</v>
      </c>
    </row>
    <row r="2338" spans="1:16" x14ac:dyDescent="0.3">
      <c r="A2338" t="s">
        <v>25</v>
      </c>
      <c r="B2338" s="1">
        <v>45582.452372685184</v>
      </c>
      <c r="C2338" t="str">
        <f>"41"</f>
        <v>41</v>
      </c>
      <c r="D2338" t="s">
        <v>120</v>
      </c>
      <c r="E2338" t="s">
        <v>116</v>
      </c>
      <c r="F2338" t="s">
        <v>117</v>
      </c>
      <c r="H2338" t="s">
        <v>653</v>
      </c>
      <c r="I2338" t="str">
        <f>"101050002012250"</f>
        <v>101050002012250</v>
      </c>
      <c r="J2338" t="str">
        <f>"128026"</f>
        <v>128026</v>
      </c>
      <c r="K2338" t="s">
        <v>63</v>
      </c>
      <c r="L2338">
        <v>49</v>
      </c>
      <c r="M2338">
        <v>49</v>
      </c>
      <c r="N2338">
        <v>0</v>
      </c>
      <c r="O2338" s="1">
        <v>45582.452372685184</v>
      </c>
      <c r="P2338" t="s">
        <v>125</v>
      </c>
    </row>
    <row r="2339" spans="1:16" x14ac:dyDescent="0.3">
      <c r="A2339" t="s">
        <v>25</v>
      </c>
      <c r="B2339" s="1">
        <v>45582.452372685184</v>
      </c>
      <c r="C2339" t="str">
        <f>"41"</f>
        <v>41</v>
      </c>
      <c r="D2339" t="s">
        <v>120</v>
      </c>
      <c r="E2339" t="s">
        <v>116</v>
      </c>
      <c r="F2339" t="s">
        <v>117</v>
      </c>
      <c r="H2339" t="s">
        <v>653</v>
      </c>
      <c r="I2339" t="str">
        <f>"101050002011979"</f>
        <v>101050002011979</v>
      </c>
      <c r="J2339" t="str">
        <f>"128026"</f>
        <v>128026</v>
      </c>
      <c r="K2339" t="s">
        <v>63</v>
      </c>
      <c r="L2339">
        <v>49</v>
      </c>
      <c r="M2339">
        <v>49</v>
      </c>
      <c r="N2339">
        <v>0</v>
      </c>
      <c r="O2339" s="1">
        <v>45582.452372685184</v>
      </c>
      <c r="P2339" t="s">
        <v>125</v>
      </c>
    </row>
    <row r="2340" spans="1:16" x14ac:dyDescent="0.3">
      <c r="A2340" t="s">
        <v>25</v>
      </c>
      <c r="B2340" s="1">
        <v>45582.452372685184</v>
      </c>
      <c r="C2340" t="str">
        <f>"41"</f>
        <v>41</v>
      </c>
      <c r="D2340" t="s">
        <v>120</v>
      </c>
      <c r="E2340" t="s">
        <v>116</v>
      </c>
      <c r="F2340" t="s">
        <v>117</v>
      </c>
      <c r="H2340" t="s">
        <v>653</v>
      </c>
      <c r="I2340" t="str">
        <f>"101050002012267"</f>
        <v>101050002012267</v>
      </c>
      <c r="J2340" t="str">
        <f>"128026"</f>
        <v>128026</v>
      </c>
      <c r="K2340" t="s">
        <v>63</v>
      </c>
      <c r="L2340">
        <v>49</v>
      </c>
      <c r="M2340">
        <v>49</v>
      </c>
      <c r="N2340">
        <v>0</v>
      </c>
      <c r="O2340" s="1">
        <v>45582.452372685184</v>
      </c>
      <c r="P2340" t="s">
        <v>125</v>
      </c>
    </row>
    <row r="2341" spans="1:16" x14ac:dyDescent="0.3">
      <c r="A2341" t="s">
        <v>25</v>
      </c>
      <c r="B2341" s="1">
        <v>45582.451354166667</v>
      </c>
      <c r="C2341" t="str">
        <f>"38"</f>
        <v>38</v>
      </c>
      <c r="D2341" t="s">
        <v>115</v>
      </c>
      <c r="E2341" t="s">
        <v>116</v>
      </c>
      <c r="F2341" t="s">
        <v>117</v>
      </c>
      <c r="H2341" t="s">
        <v>654</v>
      </c>
      <c r="L2341">
        <v>0</v>
      </c>
      <c r="M2341">
        <v>0</v>
      </c>
      <c r="N2341">
        <v>0</v>
      </c>
      <c r="O2341" s="1">
        <v>45582.451354166667</v>
      </c>
      <c r="P2341" t="s">
        <v>138</v>
      </c>
    </row>
    <row r="2342" spans="1:16" x14ac:dyDescent="0.3">
      <c r="A2342" t="s">
        <v>25</v>
      </c>
      <c r="B2342" s="1">
        <v>45582.451354166667</v>
      </c>
      <c r="C2342" t="str">
        <f>"41"</f>
        <v>41</v>
      </c>
      <c r="D2342" t="s">
        <v>120</v>
      </c>
      <c r="E2342" t="s">
        <v>116</v>
      </c>
      <c r="F2342" t="s">
        <v>117</v>
      </c>
      <c r="H2342" t="s">
        <v>654</v>
      </c>
      <c r="I2342" t="str">
        <f>"101050002023644"</f>
        <v>101050002023644</v>
      </c>
      <c r="J2342" t="str">
        <f>"123052"</f>
        <v>123052</v>
      </c>
      <c r="K2342" t="s">
        <v>28</v>
      </c>
      <c r="L2342">
        <v>49</v>
      </c>
      <c r="M2342">
        <v>49</v>
      </c>
      <c r="N2342">
        <v>0</v>
      </c>
      <c r="O2342" s="1">
        <v>45582.451354166667</v>
      </c>
      <c r="P2342" t="s">
        <v>138</v>
      </c>
    </row>
    <row r="2343" spans="1:16" x14ac:dyDescent="0.3">
      <c r="A2343" t="s">
        <v>25</v>
      </c>
      <c r="B2343" s="1">
        <v>45582.451354166667</v>
      </c>
      <c r="C2343" t="str">
        <f>"41"</f>
        <v>41</v>
      </c>
      <c r="D2343" t="s">
        <v>120</v>
      </c>
      <c r="E2343" t="s">
        <v>116</v>
      </c>
      <c r="F2343" t="s">
        <v>117</v>
      </c>
      <c r="H2343" t="s">
        <v>654</v>
      </c>
      <c r="I2343" t="str">
        <f>"101050002015158"</f>
        <v>101050002015158</v>
      </c>
      <c r="J2343" t="str">
        <f>"123052"</f>
        <v>123052</v>
      </c>
      <c r="K2343" t="s">
        <v>28</v>
      </c>
      <c r="L2343">
        <v>49</v>
      </c>
      <c r="M2343">
        <v>49</v>
      </c>
      <c r="N2343">
        <v>0</v>
      </c>
      <c r="O2343" s="1">
        <v>45582.451354166667</v>
      </c>
      <c r="P2343" t="s">
        <v>138</v>
      </c>
    </row>
    <row r="2344" spans="1:16" x14ac:dyDescent="0.3">
      <c r="A2344" t="s">
        <v>25</v>
      </c>
      <c r="B2344" s="1">
        <v>45582.451354166667</v>
      </c>
      <c r="C2344" t="str">
        <f>"41"</f>
        <v>41</v>
      </c>
      <c r="D2344" t="s">
        <v>120</v>
      </c>
      <c r="E2344" t="s">
        <v>116</v>
      </c>
      <c r="F2344" t="s">
        <v>117</v>
      </c>
      <c r="H2344" t="s">
        <v>654</v>
      </c>
      <c r="I2344" t="str">
        <f>"101050002015222"</f>
        <v>101050002015222</v>
      </c>
      <c r="J2344" t="str">
        <f>"123052"</f>
        <v>123052</v>
      </c>
      <c r="K2344" t="s">
        <v>28</v>
      </c>
      <c r="L2344">
        <v>49</v>
      </c>
      <c r="M2344">
        <v>49</v>
      </c>
      <c r="N2344">
        <v>0</v>
      </c>
      <c r="O2344" s="1">
        <v>45582.451354166667</v>
      </c>
      <c r="P2344" t="s">
        <v>138</v>
      </c>
    </row>
    <row r="2345" spans="1:16" x14ac:dyDescent="0.3">
      <c r="A2345" t="s">
        <v>25</v>
      </c>
      <c r="B2345" s="1">
        <v>45582.451354166667</v>
      </c>
      <c r="C2345" t="str">
        <f>"41"</f>
        <v>41</v>
      </c>
      <c r="D2345" t="s">
        <v>120</v>
      </c>
      <c r="E2345" t="s">
        <v>116</v>
      </c>
      <c r="F2345" t="s">
        <v>117</v>
      </c>
      <c r="H2345" t="s">
        <v>654</v>
      </c>
      <c r="I2345" t="str">
        <f>"101050002014325"</f>
        <v>101050002014325</v>
      </c>
      <c r="J2345" t="str">
        <f>"123052"</f>
        <v>123052</v>
      </c>
      <c r="K2345" t="s">
        <v>28</v>
      </c>
      <c r="L2345">
        <v>49</v>
      </c>
      <c r="M2345">
        <v>49</v>
      </c>
      <c r="N2345">
        <v>0</v>
      </c>
      <c r="O2345" s="1">
        <v>45582.451354166667</v>
      </c>
      <c r="P2345" t="s">
        <v>138</v>
      </c>
    </row>
    <row r="2346" spans="1:16" x14ac:dyDescent="0.3">
      <c r="A2346" t="s">
        <v>25</v>
      </c>
      <c r="B2346" s="1">
        <v>45582.450370370374</v>
      </c>
      <c r="C2346" t="str">
        <f>"38"</f>
        <v>38</v>
      </c>
      <c r="D2346" t="s">
        <v>115</v>
      </c>
      <c r="E2346" t="s">
        <v>116</v>
      </c>
      <c r="F2346" t="s">
        <v>117</v>
      </c>
      <c r="H2346" t="s">
        <v>655</v>
      </c>
      <c r="L2346">
        <v>0</v>
      </c>
      <c r="M2346">
        <v>0</v>
      </c>
      <c r="N2346">
        <v>0</v>
      </c>
      <c r="O2346" s="1">
        <v>45582.450370370374</v>
      </c>
      <c r="P2346" t="s">
        <v>392</v>
      </c>
    </row>
    <row r="2347" spans="1:16" x14ac:dyDescent="0.3">
      <c r="A2347" t="s">
        <v>25</v>
      </c>
      <c r="B2347" s="1">
        <v>45582.450370370374</v>
      </c>
      <c r="C2347" t="str">
        <f t="shared" ref="C2347:C2353" si="447">"41"</f>
        <v>41</v>
      </c>
      <c r="D2347" t="s">
        <v>120</v>
      </c>
      <c r="E2347" t="s">
        <v>116</v>
      </c>
      <c r="F2347" t="s">
        <v>117</v>
      </c>
      <c r="H2347" t="s">
        <v>655</v>
      </c>
      <c r="I2347" t="str">
        <f>"101050002019971"</f>
        <v>101050002019971</v>
      </c>
      <c r="J2347" t="str">
        <f t="shared" ref="J2347:J2353" si="448">"514719"</f>
        <v>514719</v>
      </c>
      <c r="K2347" t="s">
        <v>0</v>
      </c>
      <c r="L2347">
        <v>49</v>
      </c>
      <c r="M2347">
        <v>49</v>
      </c>
      <c r="N2347">
        <v>0</v>
      </c>
      <c r="O2347" s="1">
        <v>45582.450370370374</v>
      </c>
      <c r="P2347" t="s">
        <v>392</v>
      </c>
    </row>
    <row r="2348" spans="1:16" x14ac:dyDescent="0.3">
      <c r="A2348" t="s">
        <v>25</v>
      </c>
      <c r="B2348" s="1">
        <v>45582.450370370374</v>
      </c>
      <c r="C2348" t="str">
        <f t="shared" si="447"/>
        <v>41</v>
      </c>
      <c r="D2348" t="s">
        <v>120</v>
      </c>
      <c r="E2348" t="s">
        <v>116</v>
      </c>
      <c r="F2348" t="s">
        <v>117</v>
      </c>
      <c r="H2348" t="s">
        <v>655</v>
      </c>
      <c r="I2348" t="str">
        <f>"101050002020199"</f>
        <v>101050002020199</v>
      </c>
      <c r="J2348" t="str">
        <f t="shared" si="448"/>
        <v>514719</v>
      </c>
      <c r="K2348" t="s">
        <v>0</v>
      </c>
      <c r="L2348">
        <v>49</v>
      </c>
      <c r="M2348">
        <v>49</v>
      </c>
      <c r="N2348">
        <v>0</v>
      </c>
      <c r="O2348" s="1">
        <v>45582.450370370374</v>
      </c>
      <c r="P2348" t="s">
        <v>392</v>
      </c>
    </row>
    <row r="2349" spans="1:16" x14ac:dyDescent="0.3">
      <c r="A2349" t="s">
        <v>25</v>
      </c>
      <c r="B2349" s="1">
        <v>45582.450370370374</v>
      </c>
      <c r="C2349" t="str">
        <f t="shared" si="447"/>
        <v>41</v>
      </c>
      <c r="D2349" t="s">
        <v>120</v>
      </c>
      <c r="E2349" t="s">
        <v>116</v>
      </c>
      <c r="F2349" t="s">
        <v>117</v>
      </c>
      <c r="H2349" t="s">
        <v>655</v>
      </c>
      <c r="I2349" t="str">
        <f>"101050002020197"</f>
        <v>101050002020197</v>
      </c>
      <c r="J2349" t="str">
        <f t="shared" si="448"/>
        <v>514719</v>
      </c>
      <c r="K2349" t="s">
        <v>0</v>
      </c>
      <c r="L2349">
        <v>49</v>
      </c>
      <c r="M2349">
        <v>49</v>
      </c>
      <c r="N2349">
        <v>0</v>
      </c>
      <c r="O2349" s="1">
        <v>45582.450370370374</v>
      </c>
      <c r="P2349" t="s">
        <v>392</v>
      </c>
    </row>
    <row r="2350" spans="1:16" x14ac:dyDescent="0.3">
      <c r="A2350" t="s">
        <v>25</v>
      </c>
      <c r="B2350" s="1">
        <v>45582.450370370374</v>
      </c>
      <c r="C2350" t="str">
        <f t="shared" si="447"/>
        <v>41</v>
      </c>
      <c r="D2350" t="s">
        <v>120</v>
      </c>
      <c r="E2350" t="s">
        <v>116</v>
      </c>
      <c r="F2350" t="s">
        <v>117</v>
      </c>
      <c r="H2350" t="s">
        <v>655</v>
      </c>
      <c r="I2350" t="str">
        <f>"101050002020112"</f>
        <v>101050002020112</v>
      </c>
      <c r="J2350" t="str">
        <f t="shared" si="448"/>
        <v>514719</v>
      </c>
      <c r="K2350" t="s">
        <v>0</v>
      </c>
      <c r="L2350">
        <v>49</v>
      </c>
      <c r="M2350">
        <v>49</v>
      </c>
      <c r="N2350">
        <v>0</v>
      </c>
      <c r="O2350" s="1">
        <v>45582.450370370374</v>
      </c>
      <c r="P2350" t="s">
        <v>392</v>
      </c>
    </row>
    <row r="2351" spans="1:16" x14ac:dyDescent="0.3">
      <c r="A2351" t="s">
        <v>25</v>
      </c>
      <c r="B2351" s="1">
        <v>45582.450370370374</v>
      </c>
      <c r="C2351" t="str">
        <f t="shared" si="447"/>
        <v>41</v>
      </c>
      <c r="D2351" t="s">
        <v>120</v>
      </c>
      <c r="E2351" t="s">
        <v>116</v>
      </c>
      <c r="F2351" t="s">
        <v>117</v>
      </c>
      <c r="H2351" t="s">
        <v>655</v>
      </c>
      <c r="I2351" t="str">
        <f>"101050002019868"</f>
        <v>101050002019868</v>
      </c>
      <c r="J2351" t="str">
        <f t="shared" si="448"/>
        <v>514719</v>
      </c>
      <c r="K2351" t="s">
        <v>0</v>
      </c>
      <c r="L2351">
        <v>49</v>
      </c>
      <c r="M2351">
        <v>49</v>
      </c>
      <c r="N2351">
        <v>0</v>
      </c>
      <c r="O2351" s="1">
        <v>45582.450370370374</v>
      </c>
      <c r="P2351" t="s">
        <v>392</v>
      </c>
    </row>
    <row r="2352" spans="1:16" x14ac:dyDescent="0.3">
      <c r="A2352" t="s">
        <v>25</v>
      </c>
      <c r="B2352" s="1">
        <v>45582.450370370374</v>
      </c>
      <c r="C2352" t="str">
        <f t="shared" si="447"/>
        <v>41</v>
      </c>
      <c r="D2352" t="s">
        <v>120</v>
      </c>
      <c r="E2352" t="s">
        <v>116</v>
      </c>
      <c r="F2352" t="s">
        <v>117</v>
      </c>
      <c r="H2352" t="s">
        <v>655</v>
      </c>
      <c r="I2352" t="str">
        <f>"101050002020110"</f>
        <v>101050002020110</v>
      </c>
      <c r="J2352" t="str">
        <f t="shared" si="448"/>
        <v>514719</v>
      </c>
      <c r="K2352" t="s">
        <v>0</v>
      </c>
      <c r="L2352">
        <v>49</v>
      </c>
      <c r="M2352">
        <v>49</v>
      </c>
      <c r="N2352">
        <v>0</v>
      </c>
      <c r="O2352" s="1">
        <v>45582.450370370374</v>
      </c>
      <c r="P2352" t="s">
        <v>392</v>
      </c>
    </row>
    <row r="2353" spans="1:16" x14ac:dyDescent="0.3">
      <c r="A2353" t="s">
        <v>25</v>
      </c>
      <c r="B2353" s="1">
        <v>45582.450358796297</v>
      </c>
      <c r="C2353" t="str">
        <f t="shared" si="447"/>
        <v>41</v>
      </c>
      <c r="D2353" t="s">
        <v>120</v>
      </c>
      <c r="E2353" t="s">
        <v>116</v>
      </c>
      <c r="F2353" t="s">
        <v>117</v>
      </c>
      <c r="H2353" t="s">
        <v>655</v>
      </c>
      <c r="I2353" t="str">
        <f>"101050002019874"</f>
        <v>101050002019874</v>
      </c>
      <c r="J2353" t="str">
        <f t="shared" si="448"/>
        <v>514719</v>
      </c>
      <c r="K2353" t="s">
        <v>0</v>
      </c>
      <c r="L2353">
        <v>49</v>
      </c>
      <c r="M2353">
        <v>49</v>
      </c>
      <c r="N2353">
        <v>0</v>
      </c>
      <c r="O2353" s="1">
        <v>45582.450358796297</v>
      </c>
      <c r="P2353" t="s">
        <v>392</v>
      </c>
    </row>
    <row r="2354" spans="1:16" x14ac:dyDescent="0.3">
      <c r="A2354" t="s">
        <v>25</v>
      </c>
      <c r="B2354" s="1">
        <v>45582.450150462966</v>
      </c>
      <c r="C2354" t="str">
        <f>"38"</f>
        <v>38</v>
      </c>
      <c r="D2354" t="s">
        <v>115</v>
      </c>
      <c r="E2354" t="s">
        <v>116</v>
      </c>
      <c r="F2354" t="s">
        <v>117</v>
      </c>
      <c r="H2354" t="s">
        <v>656</v>
      </c>
      <c r="L2354">
        <v>0</v>
      </c>
      <c r="M2354">
        <v>0</v>
      </c>
      <c r="N2354">
        <v>0</v>
      </c>
      <c r="O2354" s="1">
        <v>45582.450150462966</v>
      </c>
      <c r="P2354" t="s">
        <v>119</v>
      </c>
    </row>
    <row r="2355" spans="1:16" x14ac:dyDescent="0.3">
      <c r="A2355" t="s">
        <v>25</v>
      </c>
      <c r="B2355" s="1">
        <v>45582.450150462966</v>
      </c>
      <c r="C2355" t="str">
        <f>"41"</f>
        <v>41</v>
      </c>
      <c r="D2355" t="s">
        <v>120</v>
      </c>
      <c r="E2355" t="s">
        <v>116</v>
      </c>
      <c r="F2355" t="s">
        <v>117</v>
      </c>
      <c r="H2355" t="s">
        <v>656</v>
      </c>
      <c r="I2355" t="str">
        <f>"101050002023853"</f>
        <v>101050002023853</v>
      </c>
      <c r="J2355" t="str">
        <f>"128504"</f>
        <v>128504</v>
      </c>
      <c r="K2355" t="s">
        <v>71</v>
      </c>
      <c r="L2355">
        <v>49</v>
      </c>
      <c r="M2355">
        <v>49</v>
      </c>
      <c r="N2355">
        <v>0</v>
      </c>
      <c r="O2355" s="1">
        <v>45582.450150462966</v>
      </c>
      <c r="P2355" t="s">
        <v>119</v>
      </c>
    </row>
    <row r="2356" spans="1:16" x14ac:dyDescent="0.3">
      <c r="A2356" t="s">
        <v>25</v>
      </c>
      <c r="B2356" s="1">
        <v>45582.450150462966</v>
      </c>
      <c r="C2356" t="str">
        <f>"41"</f>
        <v>41</v>
      </c>
      <c r="D2356" t="s">
        <v>120</v>
      </c>
      <c r="E2356" t="s">
        <v>116</v>
      </c>
      <c r="F2356" t="s">
        <v>117</v>
      </c>
      <c r="H2356" t="s">
        <v>656</v>
      </c>
      <c r="I2356" t="str">
        <f>"101050002023747"</f>
        <v>101050002023747</v>
      </c>
      <c r="J2356" t="str">
        <f>"128504"</f>
        <v>128504</v>
      </c>
      <c r="K2356" t="s">
        <v>71</v>
      </c>
      <c r="L2356">
        <v>49</v>
      </c>
      <c r="M2356">
        <v>49</v>
      </c>
      <c r="N2356">
        <v>0</v>
      </c>
      <c r="O2356" s="1">
        <v>45582.450150462966</v>
      </c>
      <c r="P2356" t="s">
        <v>119</v>
      </c>
    </row>
    <row r="2357" spans="1:16" x14ac:dyDescent="0.3">
      <c r="A2357" t="s">
        <v>25</v>
      </c>
      <c r="B2357" s="1">
        <v>45582.44940972222</v>
      </c>
      <c r="C2357" t="str">
        <f>"38"</f>
        <v>38</v>
      </c>
      <c r="D2357" t="s">
        <v>115</v>
      </c>
      <c r="E2357" t="s">
        <v>116</v>
      </c>
      <c r="F2357" t="s">
        <v>117</v>
      </c>
      <c r="H2357" t="s">
        <v>657</v>
      </c>
      <c r="L2357">
        <v>0</v>
      </c>
      <c r="M2357">
        <v>0</v>
      </c>
      <c r="N2357">
        <v>0</v>
      </c>
      <c r="O2357" s="1">
        <v>45582.44940972222</v>
      </c>
      <c r="P2357" t="s">
        <v>392</v>
      </c>
    </row>
    <row r="2358" spans="1:16" x14ac:dyDescent="0.3">
      <c r="A2358" t="s">
        <v>25</v>
      </c>
      <c r="B2358" s="1">
        <v>45582.44940972222</v>
      </c>
      <c r="C2358" t="str">
        <f>"41"</f>
        <v>41</v>
      </c>
      <c r="D2358" t="s">
        <v>120</v>
      </c>
      <c r="E2358" t="s">
        <v>116</v>
      </c>
      <c r="F2358" t="s">
        <v>117</v>
      </c>
      <c r="H2358" t="s">
        <v>657</v>
      </c>
      <c r="I2358" t="str">
        <f>"101050002005751"</f>
        <v>101050002005751</v>
      </c>
      <c r="J2358" t="str">
        <f>"515061"</f>
        <v>515061</v>
      </c>
      <c r="K2358" t="s">
        <v>96</v>
      </c>
      <c r="L2358">
        <v>49</v>
      </c>
      <c r="M2358">
        <v>49</v>
      </c>
      <c r="N2358">
        <v>0</v>
      </c>
      <c r="O2358" s="1">
        <v>45582.44940972222</v>
      </c>
      <c r="P2358" t="s">
        <v>392</v>
      </c>
    </row>
    <row r="2359" spans="1:16" x14ac:dyDescent="0.3">
      <c r="A2359" t="s">
        <v>25</v>
      </c>
      <c r="B2359" s="1">
        <v>45582.44940972222</v>
      </c>
      <c r="C2359" t="str">
        <f>"41"</f>
        <v>41</v>
      </c>
      <c r="D2359" t="s">
        <v>120</v>
      </c>
      <c r="E2359" t="s">
        <v>116</v>
      </c>
      <c r="F2359" t="s">
        <v>117</v>
      </c>
      <c r="H2359" t="s">
        <v>657</v>
      </c>
      <c r="I2359" t="str">
        <f>"101050002005752"</f>
        <v>101050002005752</v>
      </c>
      <c r="J2359" t="str">
        <f>"515061"</f>
        <v>515061</v>
      </c>
      <c r="K2359" t="s">
        <v>96</v>
      </c>
      <c r="L2359">
        <v>49</v>
      </c>
      <c r="M2359">
        <v>49</v>
      </c>
      <c r="N2359">
        <v>0</v>
      </c>
      <c r="O2359" s="1">
        <v>45582.44940972222</v>
      </c>
      <c r="P2359" t="s">
        <v>392</v>
      </c>
    </row>
    <row r="2360" spans="1:16" x14ac:dyDescent="0.3">
      <c r="A2360" t="s">
        <v>25</v>
      </c>
      <c r="B2360" s="1">
        <v>45582.449224537035</v>
      </c>
      <c r="C2360" t="str">
        <f>"38"</f>
        <v>38</v>
      </c>
      <c r="D2360" t="s">
        <v>115</v>
      </c>
      <c r="E2360" t="s">
        <v>116</v>
      </c>
      <c r="F2360" t="s">
        <v>117</v>
      </c>
      <c r="H2360" t="s">
        <v>658</v>
      </c>
      <c r="L2360">
        <v>0</v>
      </c>
      <c r="M2360">
        <v>0</v>
      </c>
      <c r="N2360">
        <v>0</v>
      </c>
      <c r="O2360" s="1">
        <v>45582.449224537035</v>
      </c>
      <c r="P2360" t="s">
        <v>125</v>
      </c>
    </row>
    <row r="2361" spans="1:16" x14ac:dyDescent="0.3">
      <c r="A2361" t="s">
        <v>25</v>
      </c>
      <c r="B2361" s="1">
        <v>45582.449224537035</v>
      </c>
      <c r="C2361" t="str">
        <f>"41"</f>
        <v>41</v>
      </c>
      <c r="D2361" t="s">
        <v>120</v>
      </c>
      <c r="E2361" t="s">
        <v>116</v>
      </c>
      <c r="F2361" t="s">
        <v>117</v>
      </c>
      <c r="H2361" t="s">
        <v>658</v>
      </c>
      <c r="I2361" t="str">
        <f>"101050001886973"</f>
        <v>101050001886973</v>
      </c>
      <c r="J2361" t="str">
        <f>"128477"</f>
        <v>128477</v>
      </c>
      <c r="K2361" t="s">
        <v>69</v>
      </c>
      <c r="L2361">
        <v>49</v>
      </c>
      <c r="M2361">
        <v>49</v>
      </c>
      <c r="N2361">
        <v>0</v>
      </c>
      <c r="O2361" s="1">
        <v>45582.449224537035</v>
      </c>
      <c r="P2361" t="s">
        <v>125</v>
      </c>
    </row>
    <row r="2362" spans="1:16" x14ac:dyDescent="0.3">
      <c r="A2362" t="s">
        <v>25</v>
      </c>
      <c r="B2362" s="1">
        <v>45582.448958333334</v>
      </c>
      <c r="C2362" t="str">
        <f>"38"</f>
        <v>38</v>
      </c>
      <c r="D2362" t="s">
        <v>115</v>
      </c>
      <c r="E2362" t="s">
        <v>116</v>
      </c>
      <c r="F2362" t="s">
        <v>117</v>
      </c>
      <c r="H2362" t="s">
        <v>659</v>
      </c>
      <c r="L2362">
        <v>0</v>
      </c>
      <c r="M2362">
        <v>0</v>
      </c>
      <c r="N2362">
        <v>0</v>
      </c>
      <c r="O2362" s="1">
        <v>45582.448958333334</v>
      </c>
      <c r="P2362" t="s">
        <v>125</v>
      </c>
    </row>
    <row r="2363" spans="1:16" x14ac:dyDescent="0.3">
      <c r="A2363" t="s">
        <v>25</v>
      </c>
      <c r="B2363" s="1">
        <v>45582.448865740742</v>
      </c>
      <c r="C2363" t="str">
        <f>"38"</f>
        <v>38</v>
      </c>
      <c r="D2363" t="s">
        <v>115</v>
      </c>
      <c r="E2363" t="s">
        <v>116</v>
      </c>
      <c r="F2363" t="s">
        <v>117</v>
      </c>
      <c r="H2363" t="s">
        <v>660</v>
      </c>
      <c r="L2363">
        <v>0</v>
      </c>
      <c r="M2363">
        <v>0</v>
      </c>
      <c r="N2363">
        <v>0</v>
      </c>
      <c r="O2363" s="1">
        <v>45582.448865740742</v>
      </c>
      <c r="P2363" t="s">
        <v>125</v>
      </c>
    </row>
    <row r="2364" spans="1:16" x14ac:dyDescent="0.3">
      <c r="A2364" t="s">
        <v>25</v>
      </c>
      <c r="B2364" s="1">
        <v>45582.44840277778</v>
      </c>
      <c r="C2364" t="str">
        <f>"38"</f>
        <v>38</v>
      </c>
      <c r="D2364" t="s">
        <v>115</v>
      </c>
      <c r="E2364" t="s">
        <v>116</v>
      </c>
      <c r="F2364" t="s">
        <v>117</v>
      </c>
      <c r="H2364" t="s">
        <v>661</v>
      </c>
      <c r="L2364">
        <v>0</v>
      </c>
      <c r="M2364">
        <v>0</v>
      </c>
      <c r="N2364">
        <v>0</v>
      </c>
      <c r="O2364" s="1">
        <v>45582.44840277778</v>
      </c>
      <c r="P2364" t="s">
        <v>119</v>
      </c>
    </row>
    <row r="2365" spans="1:16" x14ac:dyDescent="0.3">
      <c r="A2365" t="s">
        <v>25</v>
      </c>
      <c r="B2365" s="1">
        <v>45582.44840277778</v>
      </c>
      <c r="C2365" t="str">
        <f t="shared" ref="C2365:C2371" si="449">"41"</f>
        <v>41</v>
      </c>
      <c r="D2365" t="s">
        <v>120</v>
      </c>
      <c r="E2365" t="s">
        <v>116</v>
      </c>
      <c r="F2365" t="s">
        <v>117</v>
      </c>
      <c r="H2365" t="s">
        <v>661</v>
      </c>
      <c r="I2365" t="str">
        <f>"101050002021935"</f>
        <v>101050002021935</v>
      </c>
      <c r="J2365" t="str">
        <f t="shared" ref="J2365:J2371" si="450">"125056"</f>
        <v>125056</v>
      </c>
      <c r="K2365" t="s">
        <v>40</v>
      </c>
      <c r="L2365">
        <v>49</v>
      </c>
      <c r="M2365">
        <v>49</v>
      </c>
      <c r="N2365">
        <v>0</v>
      </c>
      <c r="O2365" s="1">
        <v>45582.44840277778</v>
      </c>
      <c r="P2365" t="s">
        <v>119</v>
      </c>
    </row>
    <row r="2366" spans="1:16" x14ac:dyDescent="0.3">
      <c r="A2366" t="s">
        <v>25</v>
      </c>
      <c r="B2366" s="1">
        <v>45582.448391203703</v>
      </c>
      <c r="C2366" t="str">
        <f t="shared" si="449"/>
        <v>41</v>
      </c>
      <c r="D2366" t="s">
        <v>120</v>
      </c>
      <c r="E2366" t="s">
        <v>116</v>
      </c>
      <c r="F2366" t="s">
        <v>117</v>
      </c>
      <c r="H2366" t="s">
        <v>661</v>
      </c>
      <c r="I2366" t="str">
        <f>"101050002022131"</f>
        <v>101050002022131</v>
      </c>
      <c r="J2366" t="str">
        <f t="shared" si="450"/>
        <v>125056</v>
      </c>
      <c r="K2366" t="s">
        <v>40</v>
      </c>
      <c r="L2366">
        <v>49</v>
      </c>
      <c r="M2366">
        <v>49</v>
      </c>
      <c r="N2366">
        <v>0</v>
      </c>
      <c r="O2366" s="1">
        <v>45582.448391203703</v>
      </c>
      <c r="P2366" t="s">
        <v>119</v>
      </c>
    </row>
    <row r="2367" spans="1:16" x14ac:dyDescent="0.3">
      <c r="A2367" t="s">
        <v>25</v>
      </c>
      <c r="B2367" s="1">
        <v>45582.448391203703</v>
      </c>
      <c r="C2367" t="str">
        <f t="shared" si="449"/>
        <v>41</v>
      </c>
      <c r="D2367" t="s">
        <v>120</v>
      </c>
      <c r="E2367" t="s">
        <v>116</v>
      </c>
      <c r="F2367" t="s">
        <v>117</v>
      </c>
      <c r="H2367" t="s">
        <v>661</v>
      </c>
      <c r="I2367" t="str">
        <f>"101050002022088"</f>
        <v>101050002022088</v>
      </c>
      <c r="J2367" t="str">
        <f t="shared" si="450"/>
        <v>125056</v>
      </c>
      <c r="K2367" t="s">
        <v>40</v>
      </c>
      <c r="L2367">
        <v>49</v>
      </c>
      <c r="M2367">
        <v>49</v>
      </c>
      <c r="N2367">
        <v>0</v>
      </c>
      <c r="O2367" s="1">
        <v>45582.448391203703</v>
      </c>
      <c r="P2367" t="s">
        <v>119</v>
      </c>
    </row>
    <row r="2368" spans="1:16" x14ac:dyDescent="0.3">
      <c r="A2368" t="s">
        <v>25</v>
      </c>
      <c r="B2368" s="1">
        <v>45582.448391203703</v>
      </c>
      <c r="C2368" t="str">
        <f t="shared" si="449"/>
        <v>41</v>
      </c>
      <c r="D2368" t="s">
        <v>120</v>
      </c>
      <c r="E2368" t="s">
        <v>116</v>
      </c>
      <c r="F2368" t="s">
        <v>117</v>
      </c>
      <c r="H2368" t="s">
        <v>661</v>
      </c>
      <c r="I2368" t="str">
        <f>"101050002022011"</f>
        <v>101050002022011</v>
      </c>
      <c r="J2368" t="str">
        <f t="shared" si="450"/>
        <v>125056</v>
      </c>
      <c r="K2368" t="s">
        <v>40</v>
      </c>
      <c r="L2368">
        <v>49</v>
      </c>
      <c r="M2368">
        <v>49</v>
      </c>
      <c r="N2368">
        <v>0</v>
      </c>
      <c r="O2368" s="1">
        <v>45582.448391203703</v>
      </c>
      <c r="P2368" t="s">
        <v>119</v>
      </c>
    </row>
    <row r="2369" spans="1:16" x14ac:dyDescent="0.3">
      <c r="A2369" t="s">
        <v>25</v>
      </c>
      <c r="B2369" s="1">
        <v>45582.448391203703</v>
      </c>
      <c r="C2369" t="str">
        <f t="shared" si="449"/>
        <v>41</v>
      </c>
      <c r="D2369" t="s">
        <v>120</v>
      </c>
      <c r="E2369" t="s">
        <v>116</v>
      </c>
      <c r="F2369" t="s">
        <v>117</v>
      </c>
      <c r="H2369" t="s">
        <v>661</v>
      </c>
      <c r="I2369" t="str">
        <f>"101050002021934"</f>
        <v>101050002021934</v>
      </c>
      <c r="J2369" t="str">
        <f t="shared" si="450"/>
        <v>125056</v>
      </c>
      <c r="K2369" t="s">
        <v>40</v>
      </c>
      <c r="L2369">
        <v>49</v>
      </c>
      <c r="M2369">
        <v>49</v>
      </c>
      <c r="N2369">
        <v>0</v>
      </c>
      <c r="O2369" s="1">
        <v>45582.448391203703</v>
      </c>
      <c r="P2369" t="s">
        <v>119</v>
      </c>
    </row>
    <row r="2370" spans="1:16" x14ac:dyDescent="0.3">
      <c r="A2370" t="s">
        <v>25</v>
      </c>
      <c r="B2370" s="1">
        <v>45582.448379629626</v>
      </c>
      <c r="C2370" t="str">
        <f t="shared" si="449"/>
        <v>41</v>
      </c>
      <c r="D2370" t="s">
        <v>120</v>
      </c>
      <c r="E2370" t="s">
        <v>116</v>
      </c>
      <c r="F2370" t="s">
        <v>117</v>
      </c>
      <c r="H2370" t="s">
        <v>661</v>
      </c>
      <c r="I2370" t="str">
        <f>"101050002021627"</f>
        <v>101050002021627</v>
      </c>
      <c r="J2370" t="str">
        <f t="shared" si="450"/>
        <v>125056</v>
      </c>
      <c r="K2370" t="s">
        <v>40</v>
      </c>
      <c r="L2370">
        <v>49</v>
      </c>
      <c r="M2370">
        <v>49</v>
      </c>
      <c r="N2370">
        <v>0</v>
      </c>
      <c r="O2370" s="1">
        <v>45582.448379629626</v>
      </c>
      <c r="P2370" t="s">
        <v>119</v>
      </c>
    </row>
    <row r="2371" spans="1:16" x14ac:dyDescent="0.3">
      <c r="A2371" t="s">
        <v>25</v>
      </c>
      <c r="B2371" s="1">
        <v>45582.448379629626</v>
      </c>
      <c r="C2371" t="str">
        <f t="shared" si="449"/>
        <v>41</v>
      </c>
      <c r="D2371" t="s">
        <v>120</v>
      </c>
      <c r="E2371" t="s">
        <v>116</v>
      </c>
      <c r="F2371" t="s">
        <v>117</v>
      </c>
      <c r="H2371" t="s">
        <v>661</v>
      </c>
      <c r="I2371" t="str">
        <f>"101050002021626"</f>
        <v>101050002021626</v>
      </c>
      <c r="J2371" t="str">
        <f t="shared" si="450"/>
        <v>125056</v>
      </c>
      <c r="K2371" t="s">
        <v>40</v>
      </c>
      <c r="L2371">
        <v>49</v>
      </c>
      <c r="M2371">
        <v>49</v>
      </c>
      <c r="N2371">
        <v>0</v>
      </c>
      <c r="O2371" s="1">
        <v>45582.448379629626</v>
      </c>
      <c r="P2371" t="s">
        <v>119</v>
      </c>
    </row>
    <row r="2372" spans="1:16" x14ac:dyDescent="0.3">
      <c r="A2372" t="s">
        <v>25</v>
      </c>
      <c r="B2372" s="1">
        <v>45582.448460648149</v>
      </c>
      <c r="C2372" t="str">
        <f>"38"</f>
        <v>38</v>
      </c>
      <c r="D2372" t="s">
        <v>115</v>
      </c>
      <c r="E2372" t="s">
        <v>116</v>
      </c>
      <c r="F2372" t="s">
        <v>117</v>
      </c>
      <c r="H2372" t="s">
        <v>662</v>
      </c>
      <c r="L2372">
        <v>0</v>
      </c>
      <c r="M2372">
        <v>0</v>
      </c>
      <c r="N2372">
        <v>0</v>
      </c>
      <c r="O2372" s="1">
        <v>45582.448460648149</v>
      </c>
      <c r="P2372" t="s">
        <v>392</v>
      </c>
    </row>
    <row r="2373" spans="1:16" x14ac:dyDescent="0.3">
      <c r="A2373" t="s">
        <v>25</v>
      </c>
      <c r="B2373" s="1">
        <v>45582.448460648149</v>
      </c>
      <c r="C2373" t="str">
        <f t="shared" ref="C2373:C2379" si="451">"41"</f>
        <v>41</v>
      </c>
      <c r="D2373" t="s">
        <v>120</v>
      </c>
      <c r="E2373" t="s">
        <v>116</v>
      </c>
      <c r="F2373" t="s">
        <v>117</v>
      </c>
      <c r="H2373" t="s">
        <v>662</v>
      </c>
      <c r="I2373" t="str">
        <f>"101050002013392"</f>
        <v>101050002013392</v>
      </c>
      <c r="J2373" t="str">
        <f t="shared" ref="J2373:J2379" si="452">"0800"</f>
        <v>0800</v>
      </c>
      <c r="K2373" t="s">
        <v>26</v>
      </c>
      <c r="L2373">
        <v>49</v>
      </c>
      <c r="M2373">
        <v>49</v>
      </c>
      <c r="N2373">
        <v>0</v>
      </c>
      <c r="O2373" s="1">
        <v>45582.448460648149</v>
      </c>
      <c r="P2373" t="s">
        <v>392</v>
      </c>
    </row>
    <row r="2374" spans="1:16" x14ac:dyDescent="0.3">
      <c r="A2374" t="s">
        <v>25</v>
      </c>
      <c r="B2374" s="1">
        <v>45582.448460648149</v>
      </c>
      <c r="C2374" t="str">
        <f t="shared" si="451"/>
        <v>41</v>
      </c>
      <c r="D2374" t="s">
        <v>120</v>
      </c>
      <c r="E2374" t="s">
        <v>116</v>
      </c>
      <c r="F2374" t="s">
        <v>117</v>
      </c>
      <c r="H2374" t="s">
        <v>662</v>
      </c>
      <c r="I2374" t="str">
        <f>"101050002013723"</f>
        <v>101050002013723</v>
      </c>
      <c r="J2374" t="str">
        <f t="shared" si="452"/>
        <v>0800</v>
      </c>
      <c r="K2374" t="s">
        <v>26</v>
      </c>
      <c r="L2374">
        <v>49</v>
      </c>
      <c r="M2374">
        <v>49</v>
      </c>
      <c r="N2374">
        <v>0</v>
      </c>
      <c r="O2374" s="1">
        <v>45582.448460648149</v>
      </c>
      <c r="P2374" t="s">
        <v>392</v>
      </c>
    </row>
    <row r="2375" spans="1:16" x14ac:dyDescent="0.3">
      <c r="A2375" t="s">
        <v>25</v>
      </c>
      <c r="B2375" s="1">
        <v>45582.448460648149</v>
      </c>
      <c r="C2375" t="str">
        <f t="shared" si="451"/>
        <v>41</v>
      </c>
      <c r="D2375" t="s">
        <v>120</v>
      </c>
      <c r="E2375" t="s">
        <v>116</v>
      </c>
      <c r="F2375" t="s">
        <v>117</v>
      </c>
      <c r="H2375" t="s">
        <v>662</v>
      </c>
      <c r="I2375" t="str">
        <f>"101050002013891"</f>
        <v>101050002013891</v>
      </c>
      <c r="J2375" t="str">
        <f t="shared" si="452"/>
        <v>0800</v>
      </c>
      <c r="K2375" t="s">
        <v>26</v>
      </c>
      <c r="L2375">
        <v>49</v>
      </c>
      <c r="M2375">
        <v>49</v>
      </c>
      <c r="N2375">
        <v>0</v>
      </c>
      <c r="O2375" s="1">
        <v>45582.448460648149</v>
      </c>
      <c r="P2375" t="s">
        <v>392</v>
      </c>
    </row>
    <row r="2376" spans="1:16" x14ac:dyDescent="0.3">
      <c r="A2376" t="s">
        <v>25</v>
      </c>
      <c r="B2376" s="1">
        <v>45582.448460648149</v>
      </c>
      <c r="C2376" t="str">
        <f t="shared" si="451"/>
        <v>41</v>
      </c>
      <c r="D2376" t="s">
        <v>120</v>
      </c>
      <c r="E2376" t="s">
        <v>116</v>
      </c>
      <c r="F2376" t="s">
        <v>117</v>
      </c>
      <c r="H2376" t="s">
        <v>662</v>
      </c>
      <c r="I2376" t="str">
        <f>"101050002014643"</f>
        <v>101050002014643</v>
      </c>
      <c r="J2376" t="str">
        <f t="shared" si="452"/>
        <v>0800</v>
      </c>
      <c r="K2376" t="s">
        <v>26</v>
      </c>
      <c r="L2376">
        <v>49</v>
      </c>
      <c r="M2376">
        <v>49</v>
      </c>
      <c r="N2376">
        <v>0</v>
      </c>
      <c r="O2376" s="1">
        <v>45582.448460648149</v>
      </c>
      <c r="P2376" t="s">
        <v>392</v>
      </c>
    </row>
    <row r="2377" spans="1:16" x14ac:dyDescent="0.3">
      <c r="A2377" t="s">
        <v>25</v>
      </c>
      <c r="B2377" s="1">
        <v>45582.448460648149</v>
      </c>
      <c r="C2377" t="str">
        <f t="shared" si="451"/>
        <v>41</v>
      </c>
      <c r="D2377" t="s">
        <v>120</v>
      </c>
      <c r="E2377" t="s">
        <v>116</v>
      </c>
      <c r="F2377" t="s">
        <v>117</v>
      </c>
      <c r="H2377" t="s">
        <v>662</v>
      </c>
      <c r="I2377" t="str">
        <f>"101050002013804"</f>
        <v>101050002013804</v>
      </c>
      <c r="J2377" t="str">
        <f t="shared" si="452"/>
        <v>0800</v>
      </c>
      <c r="K2377" t="s">
        <v>26</v>
      </c>
      <c r="L2377">
        <v>49</v>
      </c>
      <c r="M2377">
        <v>49</v>
      </c>
      <c r="N2377">
        <v>0</v>
      </c>
      <c r="O2377" s="1">
        <v>45582.448460648149</v>
      </c>
      <c r="P2377" t="s">
        <v>392</v>
      </c>
    </row>
    <row r="2378" spans="1:16" x14ac:dyDescent="0.3">
      <c r="A2378" t="s">
        <v>25</v>
      </c>
      <c r="B2378" s="1">
        <v>45582.448460648149</v>
      </c>
      <c r="C2378" t="str">
        <f t="shared" si="451"/>
        <v>41</v>
      </c>
      <c r="D2378" t="s">
        <v>120</v>
      </c>
      <c r="E2378" t="s">
        <v>116</v>
      </c>
      <c r="F2378" t="s">
        <v>117</v>
      </c>
      <c r="H2378" t="s">
        <v>662</v>
      </c>
      <c r="I2378" t="str">
        <f>"101050002013803"</f>
        <v>101050002013803</v>
      </c>
      <c r="J2378" t="str">
        <f t="shared" si="452"/>
        <v>0800</v>
      </c>
      <c r="K2378" t="s">
        <v>26</v>
      </c>
      <c r="L2378">
        <v>49</v>
      </c>
      <c r="M2378">
        <v>49</v>
      </c>
      <c r="N2378">
        <v>0</v>
      </c>
      <c r="O2378" s="1">
        <v>45582.448460648149</v>
      </c>
      <c r="P2378" t="s">
        <v>392</v>
      </c>
    </row>
    <row r="2379" spans="1:16" x14ac:dyDescent="0.3">
      <c r="A2379" t="s">
        <v>25</v>
      </c>
      <c r="B2379" s="1">
        <v>45582.448460648149</v>
      </c>
      <c r="C2379" t="str">
        <f t="shared" si="451"/>
        <v>41</v>
      </c>
      <c r="D2379" t="s">
        <v>120</v>
      </c>
      <c r="E2379" t="s">
        <v>116</v>
      </c>
      <c r="F2379" t="s">
        <v>117</v>
      </c>
      <c r="H2379" t="s">
        <v>662</v>
      </c>
      <c r="I2379" t="str">
        <f>"101050002013892"</f>
        <v>101050002013892</v>
      </c>
      <c r="J2379" t="str">
        <f t="shared" si="452"/>
        <v>0800</v>
      </c>
      <c r="K2379" t="s">
        <v>26</v>
      </c>
      <c r="L2379">
        <v>49</v>
      </c>
      <c r="M2379">
        <v>49</v>
      </c>
      <c r="N2379">
        <v>0</v>
      </c>
      <c r="O2379" s="1">
        <v>45582.448460648149</v>
      </c>
      <c r="P2379" t="s">
        <v>392</v>
      </c>
    </row>
    <row r="2380" spans="1:16" x14ac:dyDescent="0.3">
      <c r="A2380" t="s">
        <v>25</v>
      </c>
      <c r="B2380" s="1">
        <v>45582.448182870372</v>
      </c>
      <c r="C2380" t="str">
        <f>"38"</f>
        <v>38</v>
      </c>
      <c r="D2380" t="s">
        <v>115</v>
      </c>
      <c r="E2380" t="s">
        <v>116</v>
      </c>
      <c r="F2380" t="s">
        <v>117</v>
      </c>
      <c r="H2380" t="s">
        <v>663</v>
      </c>
      <c r="L2380">
        <v>0</v>
      </c>
      <c r="M2380">
        <v>0</v>
      </c>
      <c r="N2380">
        <v>0</v>
      </c>
      <c r="O2380" s="1">
        <v>45582.448182870372</v>
      </c>
      <c r="P2380" t="s">
        <v>125</v>
      </c>
    </row>
    <row r="2381" spans="1:16" x14ac:dyDescent="0.3">
      <c r="A2381" t="s">
        <v>25</v>
      </c>
      <c r="B2381" s="1">
        <v>45582.448182870372</v>
      </c>
      <c r="C2381" t="str">
        <f>"41"</f>
        <v>41</v>
      </c>
      <c r="D2381" t="s">
        <v>120</v>
      </c>
      <c r="E2381" t="s">
        <v>116</v>
      </c>
      <c r="F2381" t="s">
        <v>117</v>
      </c>
      <c r="H2381" t="s">
        <v>663</v>
      </c>
      <c r="I2381" t="str">
        <f>"101050001928642"</f>
        <v>101050001928642</v>
      </c>
      <c r="J2381" t="str">
        <f>"128827"</f>
        <v>128827</v>
      </c>
      <c r="K2381" t="s">
        <v>73</v>
      </c>
      <c r="L2381">
        <v>49</v>
      </c>
      <c r="M2381">
        <v>49</v>
      </c>
      <c r="N2381">
        <v>0</v>
      </c>
      <c r="O2381" s="1">
        <v>45582.448182870372</v>
      </c>
      <c r="P2381" t="s">
        <v>125</v>
      </c>
    </row>
    <row r="2382" spans="1:16" x14ac:dyDescent="0.3">
      <c r="A2382" t="s">
        <v>25</v>
      </c>
      <c r="B2382" s="1">
        <v>45582.448182870372</v>
      </c>
      <c r="C2382" t="str">
        <f>"41"</f>
        <v>41</v>
      </c>
      <c r="D2382" t="s">
        <v>120</v>
      </c>
      <c r="E2382" t="s">
        <v>116</v>
      </c>
      <c r="F2382" t="s">
        <v>117</v>
      </c>
      <c r="H2382" t="s">
        <v>663</v>
      </c>
      <c r="I2382" t="str">
        <f>"101050001928643"</f>
        <v>101050001928643</v>
      </c>
      <c r="J2382" t="str">
        <f>"128827"</f>
        <v>128827</v>
      </c>
      <c r="K2382" t="s">
        <v>73</v>
      </c>
      <c r="L2382">
        <v>49</v>
      </c>
      <c r="M2382">
        <v>49</v>
      </c>
      <c r="N2382">
        <v>0</v>
      </c>
      <c r="O2382" s="1">
        <v>45582.448182870372</v>
      </c>
      <c r="P2382" t="s">
        <v>125</v>
      </c>
    </row>
    <row r="2383" spans="1:16" x14ac:dyDescent="0.3">
      <c r="A2383" t="s">
        <v>25</v>
      </c>
      <c r="B2383" s="1">
        <v>45582.447824074072</v>
      </c>
      <c r="C2383" t="str">
        <f>"38"</f>
        <v>38</v>
      </c>
      <c r="D2383" t="s">
        <v>115</v>
      </c>
      <c r="E2383" t="s">
        <v>116</v>
      </c>
      <c r="F2383" t="s">
        <v>117</v>
      </c>
      <c r="H2383" t="s">
        <v>664</v>
      </c>
      <c r="L2383">
        <v>0</v>
      </c>
      <c r="M2383">
        <v>0</v>
      </c>
      <c r="N2383">
        <v>0</v>
      </c>
      <c r="O2383" s="1">
        <v>45582.447824074072</v>
      </c>
      <c r="P2383" t="s">
        <v>138</v>
      </c>
    </row>
    <row r="2384" spans="1:16" x14ac:dyDescent="0.3">
      <c r="A2384" t="s">
        <v>25</v>
      </c>
      <c r="B2384" s="1">
        <v>45582.447824074072</v>
      </c>
      <c r="C2384" t="str">
        <f>"41"</f>
        <v>41</v>
      </c>
      <c r="D2384" t="s">
        <v>120</v>
      </c>
      <c r="E2384" t="s">
        <v>116</v>
      </c>
      <c r="F2384" t="s">
        <v>117</v>
      </c>
      <c r="H2384" t="s">
        <v>664</v>
      </c>
      <c r="I2384" t="str">
        <f>"101050002013614"</f>
        <v>101050002013614</v>
      </c>
      <c r="J2384" t="str">
        <f>"31090"</f>
        <v>31090</v>
      </c>
      <c r="K2384" t="s">
        <v>76</v>
      </c>
      <c r="L2384">
        <v>49</v>
      </c>
      <c r="M2384">
        <v>49</v>
      </c>
      <c r="N2384">
        <v>0</v>
      </c>
      <c r="O2384" s="1">
        <v>45582.447824074072</v>
      </c>
      <c r="P2384" t="s">
        <v>138</v>
      </c>
    </row>
    <row r="2385" spans="1:16" x14ac:dyDescent="0.3">
      <c r="A2385" t="s">
        <v>25</v>
      </c>
      <c r="B2385" s="1">
        <v>45582.447824074072</v>
      </c>
      <c r="C2385" t="str">
        <f>"41"</f>
        <v>41</v>
      </c>
      <c r="D2385" t="s">
        <v>120</v>
      </c>
      <c r="E2385" t="s">
        <v>116</v>
      </c>
      <c r="F2385" t="s">
        <v>117</v>
      </c>
      <c r="H2385" t="s">
        <v>664</v>
      </c>
      <c r="I2385" t="str">
        <f>"101050002006113"</f>
        <v>101050002006113</v>
      </c>
      <c r="J2385" t="str">
        <f>"31090"</f>
        <v>31090</v>
      </c>
      <c r="K2385" t="s">
        <v>76</v>
      </c>
      <c r="L2385">
        <v>49</v>
      </c>
      <c r="M2385">
        <v>49</v>
      </c>
      <c r="N2385">
        <v>0</v>
      </c>
      <c r="O2385" s="1">
        <v>45582.447824074072</v>
      </c>
      <c r="P2385" t="s">
        <v>138</v>
      </c>
    </row>
    <row r="2386" spans="1:16" x14ac:dyDescent="0.3">
      <c r="A2386" t="s">
        <v>25</v>
      </c>
      <c r="B2386" s="1">
        <v>45582.447824074072</v>
      </c>
      <c r="C2386" t="str">
        <f>"41"</f>
        <v>41</v>
      </c>
      <c r="D2386" t="s">
        <v>120</v>
      </c>
      <c r="E2386" t="s">
        <v>116</v>
      </c>
      <c r="F2386" t="s">
        <v>117</v>
      </c>
      <c r="H2386" t="s">
        <v>664</v>
      </c>
      <c r="I2386" t="str">
        <f>"101050002006042"</f>
        <v>101050002006042</v>
      </c>
      <c r="J2386" t="str">
        <f>"31090"</f>
        <v>31090</v>
      </c>
      <c r="K2386" t="s">
        <v>76</v>
      </c>
      <c r="L2386">
        <v>49</v>
      </c>
      <c r="M2386">
        <v>49</v>
      </c>
      <c r="N2386">
        <v>0</v>
      </c>
      <c r="O2386" s="1">
        <v>45582.447824074072</v>
      </c>
      <c r="P2386" t="s">
        <v>138</v>
      </c>
    </row>
    <row r="2387" spans="1:16" x14ac:dyDescent="0.3">
      <c r="A2387" t="s">
        <v>25</v>
      </c>
      <c r="B2387" s="1">
        <v>45582.447094907409</v>
      </c>
      <c r="C2387" t="str">
        <f>"38"</f>
        <v>38</v>
      </c>
      <c r="D2387" t="s">
        <v>115</v>
      </c>
      <c r="E2387" t="s">
        <v>116</v>
      </c>
      <c r="F2387" t="s">
        <v>117</v>
      </c>
      <c r="H2387" t="s">
        <v>665</v>
      </c>
      <c r="L2387">
        <v>0</v>
      </c>
      <c r="M2387">
        <v>0</v>
      </c>
      <c r="N2387">
        <v>0</v>
      </c>
      <c r="O2387" s="1">
        <v>45582.447094907409</v>
      </c>
      <c r="P2387" t="s">
        <v>119</v>
      </c>
    </row>
    <row r="2388" spans="1:16" x14ac:dyDescent="0.3">
      <c r="A2388" t="s">
        <v>25</v>
      </c>
      <c r="B2388" s="1">
        <v>45582.447094907409</v>
      </c>
      <c r="C2388" t="str">
        <f>"41"</f>
        <v>41</v>
      </c>
      <c r="D2388" t="s">
        <v>120</v>
      </c>
      <c r="E2388" t="s">
        <v>116</v>
      </c>
      <c r="F2388" t="s">
        <v>117</v>
      </c>
      <c r="H2388" t="s">
        <v>665</v>
      </c>
      <c r="I2388" t="str">
        <f>"101050002020087"</f>
        <v>101050002020087</v>
      </c>
      <c r="J2388" t="str">
        <f>"128343"</f>
        <v>128343</v>
      </c>
      <c r="K2388" t="s">
        <v>66</v>
      </c>
      <c r="L2388">
        <v>49</v>
      </c>
      <c r="M2388">
        <v>49</v>
      </c>
      <c r="N2388">
        <v>0</v>
      </c>
      <c r="O2388" s="1">
        <v>45582.447094907409</v>
      </c>
      <c r="P2388" t="s">
        <v>119</v>
      </c>
    </row>
    <row r="2389" spans="1:16" x14ac:dyDescent="0.3">
      <c r="A2389" t="s">
        <v>25</v>
      </c>
      <c r="B2389" s="1">
        <v>45582.447094907409</v>
      </c>
      <c r="C2389" t="str">
        <f>"41"</f>
        <v>41</v>
      </c>
      <c r="D2389" t="s">
        <v>120</v>
      </c>
      <c r="E2389" t="s">
        <v>116</v>
      </c>
      <c r="F2389" t="s">
        <v>117</v>
      </c>
      <c r="H2389" t="s">
        <v>665</v>
      </c>
      <c r="I2389" t="str">
        <f>"101050002011439"</f>
        <v>101050002011439</v>
      </c>
      <c r="J2389" t="str">
        <f>"128343"</f>
        <v>128343</v>
      </c>
      <c r="K2389" t="s">
        <v>66</v>
      </c>
      <c r="L2389">
        <v>49</v>
      </c>
      <c r="M2389">
        <v>49</v>
      </c>
      <c r="N2389">
        <v>0</v>
      </c>
      <c r="O2389" s="1">
        <v>45582.447094907409</v>
      </c>
      <c r="P2389" t="s">
        <v>119</v>
      </c>
    </row>
    <row r="2390" spans="1:16" x14ac:dyDescent="0.3">
      <c r="A2390" t="s">
        <v>25</v>
      </c>
      <c r="B2390" s="1">
        <v>45582.447094907409</v>
      </c>
      <c r="C2390" t="str">
        <f>"41"</f>
        <v>41</v>
      </c>
      <c r="D2390" t="s">
        <v>120</v>
      </c>
      <c r="E2390" t="s">
        <v>116</v>
      </c>
      <c r="F2390" t="s">
        <v>117</v>
      </c>
      <c r="H2390" t="s">
        <v>665</v>
      </c>
      <c r="I2390" t="str">
        <f>"101050002011438"</f>
        <v>101050002011438</v>
      </c>
      <c r="J2390" t="str">
        <f>"128343"</f>
        <v>128343</v>
      </c>
      <c r="K2390" t="s">
        <v>66</v>
      </c>
      <c r="L2390">
        <v>49</v>
      </c>
      <c r="M2390">
        <v>49</v>
      </c>
      <c r="N2390">
        <v>0</v>
      </c>
      <c r="O2390" s="1">
        <v>45582.447094907409</v>
      </c>
      <c r="P2390" t="s">
        <v>119</v>
      </c>
    </row>
    <row r="2391" spans="1:16" x14ac:dyDescent="0.3">
      <c r="A2391" t="s">
        <v>25</v>
      </c>
      <c r="B2391" s="1">
        <v>45582.447650462964</v>
      </c>
      <c r="C2391" t="str">
        <f>"38"</f>
        <v>38</v>
      </c>
      <c r="D2391" t="s">
        <v>115</v>
      </c>
      <c r="E2391" t="s">
        <v>116</v>
      </c>
      <c r="F2391" t="s">
        <v>117</v>
      </c>
      <c r="H2391" t="s">
        <v>666</v>
      </c>
      <c r="L2391">
        <v>0</v>
      </c>
      <c r="M2391">
        <v>0</v>
      </c>
      <c r="N2391">
        <v>0</v>
      </c>
      <c r="O2391" s="1">
        <v>45582.447650462964</v>
      </c>
      <c r="P2391" t="s">
        <v>125</v>
      </c>
    </row>
    <row r="2392" spans="1:16" x14ac:dyDescent="0.3">
      <c r="A2392" t="s">
        <v>25</v>
      </c>
      <c r="B2392" s="1">
        <v>45582.447557870371</v>
      </c>
      <c r="C2392" t="str">
        <f>"38"</f>
        <v>38</v>
      </c>
      <c r="D2392" t="s">
        <v>115</v>
      </c>
      <c r="E2392" t="s">
        <v>116</v>
      </c>
      <c r="F2392" t="s">
        <v>117</v>
      </c>
      <c r="H2392" t="s">
        <v>667</v>
      </c>
      <c r="L2392">
        <v>0</v>
      </c>
      <c r="M2392">
        <v>0</v>
      </c>
      <c r="N2392">
        <v>0</v>
      </c>
      <c r="O2392" s="1">
        <v>45582.447557870371</v>
      </c>
      <c r="P2392" t="s">
        <v>392</v>
      </c>
    </row>
    <row r="2393" spans="1:16" x14ac:dyDescent="0.3">
      <c r="A2393" t="s">
        <v>25</v>
      </c>
      <c r="B2393" s="1">
        <v>45582.447557870371</v>
      </c>
      <c r="C2393" t="str">
        <f>"41"</f>
        <v>41</v>
      </c>
      <c r="D2393" t="s">
        <v>120</v>
      </c>
      <c r="E2393" t="s">
        <v>116</v>
      </c>
      <c r="F2393" t="s">
        <v>117</v>
      </c>
      <c r="H2393" t="s">
        <v>667</v>
      </c>
      <c r="I2393" t="str">
        <f>"101050002005506"</f>
        <v>101050002005506</v>
      </c>
      <c r="J2393" t="str">
        <f>"515061"</f>
        <v>515061</v>
      </c>
      <c r="K2393" t="s">
        <v>96</v>
      </c>
      <c r="L2393">
        <v>49</v>
      </c>
      <c r="M2393">
        <v>49</v>
      </c>
      <c r="N2393">
        <v>0</v>
      </c>
      <c r="O2393" s="1">
        <v>45582.447557870371</v>
      </c>
      <c r="P2393" t="s">
        <v>392</v>
      </c>
    </row>
    <row r="2394" spans="1:16" x14ac:dyDescent="0.3">
      <c r="A2394" t="s">
        <v>25</v>
      </c>
      <c r="B2394" s="1">
        <v>45582.447557870371</v>
      </c>
      <c r="C2394" t="str">
        <f>"41"</f>
        <v>41</v>
      </c>
      <c r="D2394" t="s">
        <v>120</v>
      </c>
      <c r="E2394" t="s">
        <v>116</v>
      </c>
      <c r="F2394" t="s">
        <v>117</v>
      </c>
      <c r="H2394" t="s">
        <v>667</v>
      </c>
      <c r="I2394" t="str">
        <f>"101050002004548"</f>
        <v>101050002004548</v>
      </c>
      <c r="J2394" t="str">
        <f>"515061"</f>
        <v>515061</v>
      </c>
      <c r="K2394" t="s">
        <v>96</v>
      </c>
      <c r="L2394">
        <v>49</v>
      </c>
      <c r="M2394">
        <v>49</v>
      </c>
      <c r="N2394">
        <v>0</v>
      </c>
      <c r="O2394" s="1">
        <v>45582.447557870371</v>
      </c>
      <c r="P2394" t="s">
        <v>392</v>
      </c>
    </row>
    <row r="2395" spans="1:16" x14ac:dyDescent="0.3">
      <c r="A2395" t="s">
        <v>25</v>
      </c>
      <c r="B2395" s="1">
        <v>45582.44672453704</v>
      </c>
      <c r="C2395" t="str">
        <f>"38"</f>
        <v>38</v>
      </c>
      <c r="D2395" t="s">
        <v>115</v>
      </c>
      <c r="E2395" t="s">
        <v>116</v>
      </c>
      <c r="F2395" t="s">
        <v>117</v>
      </c>
      <c r="H2395" t="s">
        <v>668</v>
      </c>
      <c r="L2395">
        <v>0</v>
      </c>
      <c r="M2395">
        <v>0</v>
      </c>
      <c r="N2395">
        <v>0</v>
      </c>
      <c r="O2395" s="1">
        <v>45582.44672453704</v>
      </c>
      <c r="P2395" t="s">
        <v>392</v>
      </c>
    </row>
    <row r="2396" spans="1:16" x14ac:dyDescent="0.3">
      <c r="A2396" t="s">
        <v>25</v>
      </c>
      <c r="B2396" s="1">
        <v>45582.44672453704</v>
      </c>
      <c r="C2396" t="str">
        <f t="shared" ref="C2396:C2402" si="453">"41"</f>
        <v>41</v>
      </c>
      <c r="D2396" t="s">
        <v>120</v>
      </c>
      <c r="E2396" t="s">
        <v>116</v>
      </c>
      <c r="F2396" t="s">
        <v>117</v>
      </c>
      <c r="H2396" t="s">
        <v>668</v>
      </c>
      <c r="I2396" t="str">
        <f>"101570001111022"</f>
        <v>101570001111022</v>
      </c>
      <c r="J2396" t="str">
        <f t="shared" ref="J2396:J2402" si="454">"126950"</f>
        <v>126950</v>
      </c>
      <c r="K2396" t="s">
        <v>55</v>
      </c>
      <c r="L2396">
        <v>49</v>
      </c>
      <c r="M2396">
        <v>49</v>
      </c>
      <c r="N2396">
        <v>0</v>
      </c>
      <c r="O2396" s="1">
        <v>45582.44672453704</v>
      </c>
      <c r="P2396" t="s">
        <v>392</v>
      </c>
    </row>
    <row r="2397" spans="1:16" x14ac:dyDescent="0.3">
      <c r="A2397" t="s">
        <v>25</v>
      </c>
      <c r="B2397" s="1">
        <v>45582.44672453704</v>
      </c>
      <c r="C2397" t="str">
        <f t="shared" si="453"/>
        <v>41</v>
      </c>
      <c r="D2397" t="s">
        <v>120</v>
      </c>
      <c r="E2397" t="s">
        <v>116</v>
      </c>
      <c r="F2397" t="s">
        <v>117</v>
      </c>
      <c r="H2397" t="s">
        <v>668</v>
      </c>
      <c r="I2397" t="str">
        <f>"101570001110979"</f>
        <v>101570001110979</v>
      </c>
      <c r="J2397" t="str">
        <f t="shared" si="454"/>
        <v>126950</v>
      </c>
      <c r="K2397" t="s">
        <v>55</v>
      </c>
      <c r="L2397">
        <v>49</v>
      </c>
      <c r="M2397">
        <v>49</v>
      </c>
      <c r="N2397">
        <v>0</v>
      </c>
      <c r="O2397" s="1">
        <v>45582.44672453704</v>
      </c>
      <c r="P2397" t="s">
        <v>392</v>
      </c>
    </row>
    <row r="2398" spans="1:16" x14ac:dyDescent="0.3">
      <c r="A2398" t="s">
        <v>25</v>
      </c>
      <c r="B2398" s="1">
        <v>45582.44672453704</v>
      </c>
      <c r="C2398" t="str">
        <f t="shared" si="453"/>
        <v>41</v>
      </c>
      <c r="D2398" t="s">
        <v>120</v>
      </c>
      <c r="E2398" t="s">
        <v>116</v>
      </c>
      <c r="F2398" t="s">
        <v>117</v>
      </c>
      <c r="H2398" t="s">
        <v>668</v>
      </c>
      <c r="I2398" t="str">
        <f>"101570001111720"</f>
        <v>101570001111720</v>
      </c>
      <c r="J2398" t="str">
        <f t="shared" si="454"/>
        <v>126950</v>
      </c>
      <c r="K2398" t="s">
        <v>55</v>
      </c>
      <c r="L2398">
        <v>49</v>
      </c>
      <c r="M2398">
        <v>49</v>
      </c>
      <c r="N2398">
        <v>0</v>
      </c>
      <c r="O2398" s="1">
        <v>45582.44672453704</v>
      </c>
      <c r="P2398" t="s">
        <v>392</v>
      </c>
    </row>
    <row r="2399" spans="1:16" x14ac:dyDescent="0.3">
      <c r="A2399" t="s">
        <v>25</v>
      </c>
      <c r="B2399" s="1">
        <v>45582.44672453704</v>
      </c>
      <c r="C2399" t="str">
        <f t="shared" si="453"/>
        <v>41</v>
      </c>
      <c r="D2399" t="s">
        <v>120</v>
      </c>
      <c r="E2399" t="s">
        <v>116</v>
      </c>
      <c r="F2399" t="s">
        <v>117</v>
      </c>
      <c r="H2399" t="s">
        <v>668</v>
      </c>
      <c r="I2399" t="str">
        <f>"101570001111723"</f>
        <v>101570001111723</v>
      </c>
      <c r="J2399" t="str">
        <f t="shared" si="454"/>
        <v>126950</v>
      </c>
      <c r="K2399" t="s">
        <v>55</v>
      </c>
      <c r="L2399">
        <v>49</v>
      </c>
      <c r="M2399">
        <v>49</v>
      </c>
      <c r="N2399">
        <v>0</v>
      </c>
      <c r="O2399" s="1">
        <v>45582.44672453704</v>
      </c>
      <c r="P2399" t="s">
        <v>392</v>
      </c>
    </row>
    <row r="2400" spans="1:16" x14ac:dyDescent="0.3">
      <c r="A2400" t="s">
        <v>25</v>
      </c>
      <c r="B2400" s="1">
        <v>45582.44672453704</v>
      </c>
      <c r="C2400" t="str">
        <f t="shared" si="453"/>
        <v>41</v>
      </c>
      <c r="D2400" t="s">
        <v>120</v>
      </c>
      <c r="E2400" t="s">
        <v>116</v>
      </c>
      <c r="F2400" t="s">
        <v>117</v>
      </c>
      <c r="H2400" t="s">
        <v>668</v>
      </c>
      <c r="I2400" t="str">
        <f>"101570001111703"</f>
        <v>101570001111703</v>
      </c>
      <c r="J2400" t="str">
        <f t="shared" si="454"/>
        <v>126950</v>
      </c>
      <c r="K2400" t="s">
        <v>55</v>
      </c>
      <c r="L2400">
        <v>49</v>
      </c>
      <c r="M2400">
        <v>49</v>
      </c>
      <c r="N2400">
        <v>0</v>
      </c>
      <c r="O2400" s="1">
        <v>45582.44672453704</v>
      </c>
      <c r="P2400" t="s">
        <v>392</v>
      </c>
    </row>
    <row r="2401" spans="1:16" x14ac:dyDescent="0.3">
      <c r="A2401" t="s">
        <v>25</v>
      </c>
      <c r="B2401" s="1">
        <v>45582.446712962963</v>
      </c>
      <c r="C2401" t="str">
        <f t="shared" si="453"/>
        <v>41</v>
      </c>
      <c r="D2401" t="s">
        <v>120</v>
      </c>
      <c r="E2401" t="s">
        <v>116</v>
      </c>
      <c r="F2401" t="s">
        <v>117</v>
      </c>
      <c r="H2401" t="s">
        <v>668</v>
      </c>
      <c r="I2401" t="str">
        <f>"101570001111707"</f>
        <v>101570001111707</v>
      </c>
      <c r="J2401" t="str">
        <f t="shared" si="454"/>
        <v>126950</v>
      </c>
      <c r="K2401" t="s">
        <v>55</v>
      </c>
      <c r="L2401">
        <v>49</v>
      </c>
      <c r="M2401">
        <v>49</v>
      </c>
      <c r="N2401">
        <v>0</v>
      </c>
      <c r="O2401" s="1">
        <v>45582.446712962963</v>
      </c>
      <c r="P2401" t="s">
        <v>392</v>
      </c>
    </row>
    <row r="2402" spans="1:16" x14ac:dyDescent="0.3">
      <c r="A2402" t="s">
        <v>25</v>
      </c>
      <c r="B2402" s="1">
        <v>45582.446712962963</v>
      </c>
      <c r="C2402" t="str">
        <f t="shared" si="453"/>
        <v>41</v>
      </c>
      <c r="D2402" t="s">
        <v>120</v>
      </c>
      <c r="E2402" t="s">
        <v>116</v>
      </c>
      <c r="F2402" t="s">
        <v>117</v>
      </c>
      <c r="H2402" t="s">
        <v>668</v>
      </c>
      <c r="I2402" t="str">
        <f>"101570001111682"</f>
        <v>101570001111682</v>
      </c>
      <c r="J2402" t="str">
        <f t="shared" si="454"/>
        <v>126950</v>
      </c>
      <c r="K2402" t="s">
        <v>55</v>
      </c>
      <c r="L2402">
        <v>49</v>
      </c>
      <c r="M2402">
        <v>49</v>
      </c>
      <c r="N2402">
        <v>0</v>
      </c>
      <c r="O2402" s="1">
        <v>45582.446712962963</v>
      </c>
      <c r="P2402" t="s">
        <v>392</v>
      </c>
    </row>
    <row r="2403" spans="1:16" x14ac:dyDescent="0.3">
      <c r="A2403" t="s">
        <v>25</v>
      </c>
      <c r="B2403" s="1">
        <v>45582.445937500001</v>
      </c>
      <c r="C2403" t="str">
        <f>"38"</f>
        <v>38</v>
      </c>
      <c r="D2403" t="s">
        <v>115</v>
      </c>
      <c r="E2403" t="s">
        <v>116</v>
      </c>
      <c r="F2403" t="s">
        <v>117</v>
      </c>
      <c r="H2403" t="s">
        <v>669</v>
      </c>
      <c r="L2403">
        <v>0</v>
      </c>
      <c r="M2403">
        <v>0</v>
      </c>
      <c r="N2403">
        <v>0</v>
      </c>
      <c r="O2403" s="1">
        <v>45582.445937500001</v>
      </c>
      <c r="P2403" t="s">
        <v>392</v>
      </c>
    </row>
    <row r="2404" spans="1:16" x14ac:dyDescent="0.3">
      <c r="A2404" t="s">
        <v>25</v>
      </c>
      <c r="B2404" s="1">
        <v>45582.445937500001</v>
      </c>
      <c r="C2404" t="str">
        <f t="shared" ref="C2404:C2410" si="455">"41"</f>
        <v>41</v>
      </c>
      <c r="D2404" t="s">
        <v>120</v>
      </c>
      <c r="E2404" t="s">
        <v>116</v>
      </c>
      <c r="F2404" t="s">
        <v>117</v>
      </c>
      <c r="H2404" t="s">
        <v>669</v>
      </c>
      <c r="I2404" t="str">
        <f>"101050002015675"</f>
        <v>101050002015675</v>
      </c>
      <c r="J2404" t="str">
        <f t="shared" ref="J2404:J2410" si="456">"2530"</f>
        <v>2530</v>
      </c>
      <c r="K2404" t="s">
        <v>74</v>
      </c>
      <c r="L2404">
        <v>49</v>
      </c>
      <c r="M2404">
        <v>49</v>
      </c>
      <c r="N2404">
        <v>0</v>
      </c>
      <c r="O2404" s="1">
        <v>45582.445937500001</v>
      </c>
      <c r="P2404" t="s">
        <v>392</v>
      </c>
    </row>
    <row r="2405" spans="1:16" x14ac:dyDescent="0.3">
      <c r="A2405" t="s">
        <v>25</v>
      </c>
      <c r="B2405" s="1">
        <v>45582.445937500001</v>
      </c>
      <c r="C2405" t="str">
        <f t="shared" si="455"/>
        <v>41</v>
      </c>
      <c r="D2405" t="s">
        <v>120</v>
      </c>
      <c r="E2405" t="s">
        <v>116</v>
      </c>
      <c r="F2405" t="s">
        <v>117</v>
      </c>
      <c r="H2405" t="s">
        <v>669</v>
      </c>
      <c r="I2405" t="str">
        <f>"101050002015673"</f>
        <v>101050002015673</v>
      </c>
      <c r="J2405" t="str">
        <f t="shared" si="456"/>
        <v>2530</v>
      </c>
      <c r="K2405" t="s">
        <v>74</v>
      </c>
      <c r="L2405">
        <v>49</v>
      </c>
      <c r="M2405">
        <v>49</v>
      </c>
      <c r="N2405">
        <v>0</v>
      </c>
      <c r="O2405" s="1">
        <v>45582.445937500001</v>
      </c>
      <c r="P2405" t="s">
        <v>392</v>
      </c>
    </row>
    <row r="2406" spans="1:16" x14ac:dyDescent="0.3">
      <c r="A2406" t="s">
        <v>25</v>
      </c>
      <c r="B2406" s="1">
        <v>45582.445937500001</v>
      </c>
      <c r="C2406" t="str">
        <f t="shared" si="455"/>
        <v>41</v>
      </c>
      <c r="D2406" t="s">
        <v>120</v>
      </c>
      <c r="E2406" t="s">
        <v>116</v>
      </c>
      <c r="F2406" t="s">
        <v>117</v>
      </c>
      <c r="H2406" t="s">
        <v>669</v>
      </c>
      <c r="I2406" t="str">
        <f>"101050002021950"</f>
        <v>101050002021950</v>
      </c>
      <c r="J2406" t="str">
        <f t="shared" si="456"/>
        <v>2530</v>
      </c>
      <c r="K2406" t="s">
        <v>74</v>
      </c>
      <c r="L2406">
        <v>49</v>
      </c>
      <c r="M2406">
        <v>49</v>
      </c>
      <c r="N2406">
        <v>0</v>
      </c>
      <c r="O2406" s="1">
        <v>45582.445937500001</v>
      </c>
      <c r="P2406" t="s">
        <v>392</v>
      </c>
    </row>
    <row r="2407" spans="1:16" x14ac:dyDescent="0.3">
      <c r="A2407" t="s">
        <v>25</v>
      </c>
      <c r="B2407" s="1">
        <v>45582.445925925924</v>
      </c>
      <c r="C2407" t="str">
        <f t="shared" si="455"/>
        <v>41</v>
      </c>
      <c r="D2407" t="s">
        <v>120</v>
      </c>
      <c r="E2407" t="s">
        <v>116</v>
      </c>
      <c r="F2407" t="s">
        <v>117</v>
      </c>
      <c r="H2407" t="s">
        <v>669</v>
      </c>
      <c r="I2407" t="str">
        <f>"101050002021951"</f>
        <v>101050002021951</v>
      </c>
      <c r="J2407" t="str">
        <f t="shared" si="456"/>
        <v>2530</v>
      </c>
      <c r="K2407" t="s">
        <v>74</v>
      </c>
      <c r="L2407">
        <v>49</v>
      </c>
      <c r="M2407">
        <v>49</v>
      </c>
      <c r="N2407">
        <v>0</v>
      </c>
      <c r="O2407" s="1">
        <v>45582.445925925924</v>
      </c>
      <c r="P2407" t="s">
        <v>392</v>
      </c>
    </row>
    <row r="2408" spans="1:16" x14ac:dyDescent="0.3">
      <c r="A2408" t="s">
        <v>25</v>
      </c>
      <c r="B2408" s="1">
        <v>45582.445925925924</v>
      </c>
      <c r="C2408" t="str">
        <f t="shared" si="455"/>
        <v>41</v>
      </c>
      <c r="D2408" t="s">
        <v>120</v>
      </c>
      <c r="E2408" t="s">
        <v>116</v>
      </c>
      <c r="F2408" t="s">
        <v>117</v>
      </c>
      <c r="H2408" t="s">
        <v>669</v>
      </c>
      <c r="I2408" t="str">
        <f>"101050002022119"</f>
        <v>101050002022119</v>
      </c>
      <c r="J2408" t="str">
        <f t="shared" si="456"/>
        <v>2530</v>
      </c>
      <c r="K2408" t="s">
        <v>74</v>
      </c>
      <c r="L2408">
        <v>49</v>
      </c>
      <c r="M2408">
        <v>49</v>
      </c>
      <c r="N2408">
        <v>0</v>
      </c>
      <c r="O2408" s="1">
        <v>45582.445925925924</v>
      </c>
      <c r="P2408" t="s">
        <v>392</v>
      </c>
    </row>
    <row r="2409" spans="1:16" x14ac:dyDescent="0.3">
      <c r="A2409" t="s">
        <v>25</v>
      </c>
      <c r="B2409" s="1">
        <v>45582.445925925924</v>
      </c>
      <c r="C2409" t="str">
        <f t="shared" si="455"/>
        <v>41</v>
      </c>
      <c r="D2409" t="s">
        <v>120</v>
      </c>
      <c r="E2409" t="s">
        <v>116</v>
      </c>
      <c r="F2409" t="s">
        <v>117</v>
      </c>
      <c r="H2409" t="s">
        <v>669</v>
      </c>
      <c r="I2409" t="str">
        <f>"101050002016197"</f>
        <v>101050002016197</v>
      </c>
      <c r="J2409" t="str">
        <f t="shared" si="456"/>
        <v>2530</v>
      </c>
      <c r="K2409" t="s">
        <v>74</v>
      </c>
      <c r="L2409">
        <v>49</v>
      </c>
      <c r="M2409">
        <v>49</v>
      </c>
      <c r="N2409">
        <v>0</v>
      </c>
      <c r="O2409" s="1">
        <v>45582.445925925924</v>
      </c>
      <c r="P2409" t="s">
        <v>392</v>
      </c>
    </row>
    <row r="2410" spans="1:16" x14ac:dyDescent="0.3">
      <c r="A2410" t="s">
        <v>25</v>
      </c>
      <c r="B2410" s="1">
        <v>45582.445925925924</v>
      </c>
      <c r="C2410" t="str">
        <f t="shared" si="455"/>
        <v>41</v>
      </c>
      <c r="D2410" t="s">
        <v>120</v>
      </c>
      <c r="E2410" t="s">
        <v>116</v>
      </c>
      <c r="F2410" t="s">
        <v>117</v>
      </c>
      <c r="H2410" t="s">
        <v>669</v>
      </c>
      <c r="I2410" t="str">
        <f>"101050002015292"</f>
        <v>101050002015292</v>
      </c>
      <c r="J2410" t="str">
        <f t="shared" si="456"/>
        <v>2530</v>
      </c>
      <c r="K2410" t="s">
        <v>74</v>
      </c>
      <c r="L2410">
        <v>49</v>
      </c>
      <c r="M2410">
        <v>49</v>
      </c>
      <c r="N2410">
        <v>0</v>
      </c>
      <c r="O2410" s="1">
        <v>45582.445925925924</v>
      </c>
      <c r="P2410" t="s">
        <v>392</v>
      </c>
    </row>
    <row r="2411" spans="1:16" x14ac:dyDescent="0.3">
      <c r="A2411" t="s">
        <v>25</v>
      </c>
      <c r="B2411" s="1">
        <v>45582.445185185185</v>
      </c>
      <c r="C2411" t="str">
        <f>"38"</f>
        <v>38</v>
      </c>
      <c r="D2411" t="s">
        <v>115</v>
      </c>
      <c r="E2411" t="s">
        <v>116</v>
      </c>
      <c r="F2411" t="s">
        <v>117</v>
      </c>
      <c r="H2411" t="s">
        <v>670</v>
      </c>
      <c r="L2411">
        <v>0</v>
      </c>
      <c r="M2411">
        <v>0</v>
      </c>
      <c r="N2411">
        <v>0</v>
      </c>
      <c r="O2411" s="1">
        <v>45582.445185185185</v>
      </c>
      <c r="P2411" t="s">
        <v>392</v>
      </c>
    </row>
    <row r="2412" spans="1:16" x14ac:dyDescent="0.3">
      <c r="A2412" t="s">
        <v>25</v>
      </c>
      <c r="B2412" s="1">
        <v>45582.445185185185</v>
      </c>
      <c r="C2412" t="str">
        <f t="shared" ref="C2412:C2418" si="457">"41"</f>
        <v>41</v>
      </c>
      <c r="D2412" t="s">
        <v>120</v>
      </c>
      <c r="E2412" t="s">
        <v>116</v>
      </c>
      <c r="F2412" t="s">
        <v>117</v>
      </c>
      <c r="H2412" t="s">
        <v>670</v>
      </c>
      <c r="I2412" t="str">
        <f>"101050002016542"</f>
        <v>101050002016542</v>
      </c>
      <c r="J2412" t="str">
        <f t="shared" ref="J2412:J2418" si="458">"514846"</f>
        <v>514846</v>
      </c>
      <c r="K2412" t="s">
        <v>18</v>
      </c>
      <c r="L2412">
        <v>49</v>
      </c>
      <c r="M2412">
        <v>49</v>
      </c>
      <c r="N2412">
        <v>0</v>
      </c>
      <c r="O2412" s="1">
        <v>45582.445185185185</v>
      </c>
      <c r="P2412" t="s">
        <v>392</v>
      </c>
    </row>
    <row r="2413" spans="1:16" x14ac:dyDescent="0.3">
      <c r="A2413" t="s">
        <v>25</v>
      </c>
      <c r="B2413" s="1">
        <v>45582.445185185185</v>
      </c>
      <c r="C2413" t="str">
        <f t="shared" si="457"/>
        <v>41</v>
      </c>
      <c r="D2413" t="s">
        <v>120</v>
      </c>
      <c r="E2413" t="s">
        <v>116</v>
      </c>
      <c r="F2413" t="s">
        <v>117</v>
      </c>
      <c r="H2413" t="s">
        <v>670</v>
      </c>
      <c r="I2413" t="str">
        <f>"101050002016541"</f>
        <v>101050002016541</v>
      </c>
      <c r="J2413" t="str">
        <f t="shared" si="458"/>
        <v>514846</v>
      </c>
      <c r="K2413" t="s">
        <v>18</v>
      </c>
      <c r="L2413">
        <v>49</v>
      </c>
      <c r="M2413">
        <v>49</v>
      </c>
      <c r="N2413">
        <v>0</v>
      </c>
      <c r="O2413" s="1">
        <v>45582.445185185185</v>
      </c>
      <c r="P2413" t="s">
        <v>392</v>
      </c>
    </row>
    <row r="2414" spans="1:16" x14ac:dyDescent="0.3">
      <c r="A2414" t="s">
        <v>25</v>
      </c>
      <c r="B2414" s="1">
        <v>45582.445185185185</v>
      </c>
      <c r="C2414" t="str">
        <f t="shared" si="457"/>
        <v>41</v>
      </c>
      <c r="D2414" t="s">
        <v>120</v>
      </c>
      <c r="E2414" t="s">
        <v>116</v>
      </c>
      <c r="F2414" t="s">
        <v>117</v>
      </c>
      <c r="H2414" t="s">
        <v>670</v>
      </c>
      <c r="I2414" t="str">
        <f>"101050002015630"</f>
        <v>101050002015630</v>
      </c>
      <c r="J2414" t="str">
        <f t="shared" si="458"/>
        <v>514846</v>
      </c>
      <c r="K2414" t="s">
        <v>18</v>
      </c>
      <c r="L2414">
        <v>49</v>
      </c>
      <c r="M2414">
        <v>49</v>
      </c>
      <c r="N2414">
        <v>0</v>
      </c>
      <c r="O2414" s="1">
        <v>45582.445185185185</v>
      </c>
      <c r="P2414" t="s">
        <v>392</v>
      </c>
    </row>
    <row r="2415" spans="1:16" x14ac:dyDescent="0.3">
      <c r="A2415" t="s">
        <v>25</v>
      </c>
      <c r="B2415" s="1">
        <v>45582.445185185185</v>
      </c>
      <c r="C2415" t="str">
        <f t="shared" si="457"/>
        <v>41</v>
      </c>
      <c r="D2415" t="s">
        <v>120</v>
      </c>
      <c r="E2415" t="s">
        <v>116</v>
      </c>
      <c r="F2415" t="s">
        <v>117</v>
      </c>
      <c r="H2415" t="s">
        <v>670</v>
      </c>
      <c r="I2415" t="str">
        <f>"101050002015605"</f>
        <v>101050002015605</v>
      </c>
      <c r="J2415" t="str">
        <f t="shared" si="458"/>
        <v>514846</v>
      </c>
      <c r="K2415" t="s">
        <v>18</v>
      </c>
      <c r="L2415">
        <v>49</v>
      </c>
      <c r="M2415">
        <v>49</v>
      </c>
      <c r="N2415">
        <v>0</v>
      </c>
      <c r="O2415" s="1">
        <v>45582.445185185185</v>
      </c>
      <c r="P2415" t="s">
        <v>392</v>
      </c>
    </row>
    <row r="2416" spans="1:16" x14ac:dyDescent="0.3">
      <c r="A2416" t="s">
        <v>25</v>
      </c>
      <c r="B2416" s="1">
        <v>45582.445185185185</v>
      </c>
      <c r="C2416" t="str">
        <f t="shared" si="457"/>
        <v>41</v>
      </c>
      <c r="D2416" t="s">
        <v>120</v>
      </c>
      <c r="E2416" t="s">
        <v>116</v>
      </c>
      <c r="F2416" t="s">
        <v>117</v>
      </c>
      <c r="H2416" t="s">
        <v>670</v>
      </c>
      <c r="I2416" t="str">
        <f>"101050002015380"</f>
        <v>101050002015380</v>
      </c>
      <c r="J2416" t="str">
        <f t="shared" si="458"/>
        <v>514846</v>
      </c>
      <c r="K2416" t="s">
        <v>18</v>
      </c>
      <c r="L2416">
        <v>49</v>
      </c>
      <c r="M2416">
        <v>49</v>
      </c>
      <c r="N2416">
        <v>0</v>
      </c>
      <c r="O2416" s="1">
        <v>45582.445185185185</v>
      </c>
      <c r="P2416" t="s">
        <v>392</v>
      </c>
    </row>
    <row r="2417" spans="1:16" x14ac:dyDescent="0.3">
      <c r="A2417" t="s">
        <v>25</v>
      </c>
      <c r="B2417" s="1">
        <v>45582.445173611108</v>
      </c>
      <c r="C2417" t="str">
        <f t="shared" si="457"/>
        <v>41</v>
      </c>
      <c r="D2417" t="s">
        <v>120</v>
      </c>
      <c r="E2417" t="s">
        <v>116</v>
      </c>
      <c r="F2417" t="s">
        <v>117</v>
      </c>
      <c r="H2417" t="s">
        <v>670</v>
      </c>
      <c r="I2417" t="str">
        <f>"101050002014954"</f>
        <v>101050002014954</v>
      </c>
      <c r="J2417" t="str">
        <f t="shared" si="458"/>
        <v>514846</v>
      </c>
      <c r="K2417" t="s">
        <v>18</v>
      </c>
      <c r="L2417">
        <v>49</v>
      </c>
      <c r="M2417">
        <v>49</v>
      </c>
      <c r="N2417">
        <v>0</v>
      </c>
      <c r="O2417" s="1">
        <v>45582.445173611108</v>
      </c>
      <c r="P2417" t="s">
        <v>392</v>
      </c>
    </row>
    <row r="2418" spans="1:16" x14ac:dyDescent="0.3">
      <c r="A2418" t="s">
        <v>25</v>
      </c>
      <c r="B2418" s="1">
        <v>45582.445173611108</v>
      </c>
      <c r="C2418" t="str">
        <f t="shared" si="457"/>
        <v>41</v>
      </c>
      <c r="D2418" t="s">
        <v>120</v>
      </c>
      <c r="E2418" t="s">
        <v>116</v>
      </c>
      <c r="F2418" t="s">
        <v>117</v>
      </c>
      <c r="H2418" t="s">
        <v>670</v>
      </c>
      <c r="I2418" t="str">
        <f>"101050002014681"</f>
        <v>101050002014681</v>
      </c>
      <c r="J2418" t="str">
        <f t="shared" si="458"/>
        <v>514846</v>
      </c>
      <c r="K2418" t="s">
        <v>18</v>
      </c>
      <c r="L2418">
        <v>49</v>
      </c>
      <c r="M2418">
        <v>49</v>
      </c>
      <c r="N2418">
        <v>0</v>
      </c>
      <c r="O2418" s="1">
        <v>45582.445173611108</v>
      </c>
      <c r="P2418" t="s">
        <v>392</v>
      </c>
    </row>
    <row r="2419" spans="1:16" x14ac:dyDescent="0.3">
      <c r="A2419" t="s">
        <v>25</v>
      </c>
      <c r="B2419" s="1">
        <v>45582.445416666669</v>
      </c>
      <c r="C2419" t="str">
        <f>"38"</f>
        <v>38</v>
      </c>
      <c r="D2419" t="s">
        <v>115</v>
      </c>
      <c r="E2419" t="s">
        <v>116</v>
      </c>
      <c r="F2419" t="s">
        <v>117</v>
      </c>
      <c r="H2419" t="s">
        <v>671</v>
      </c>
      <c r="L2419">
        <v>0</v>
      </c>
      <c r="M2419">
        <v>0</v>
      </c>
      <c r="N2419">
        <v>0</v>
      </c>
      <c r="O2419" s="1">
        <v>45582.445416666669</v>
      </c>
      <c r="P2419" t="s">
        <v>138</v>
      </c>
    </row>
    <row r="2420" spans="1:16" x14ac:dyDescent="0.3">
      <c r="A2420" t="s">
        <v>25</v>
      </c>
      <c r="B2420" s="1">
        <v>45582.445416666669</v>
      </c>
      <c r="C2420" t="str">
        <f t="shared" ref="C2420:C2426" si="459">"41"</f>
        <v>41</v>
      </c>
      <c r="D2420" t="s">
        <v>120</v>
      </c>
      <c r="E2420" t="s">
        <v>116</v>
      </c>
      <c r="F2420" t="s">
        <v>117</v>
      </c>
      <c r="H2420" t="s">
        <v>671</v>
      </c>
      <c r="I2420" t="str">
        <f>"101570001107872"</f>
        <v>101570001107872</v>
      </c>
      <c r="J2420" t="str">
        <f t="shared" ref="J2420:J2426" si="460">"126312"</f>
        <v>126312</v>
      </c>
      <c r="K2420" t="s">
        <v>44</v>
      </c>
      <c r="L2420">
        <v>49</v>
      </c>
      <c r="M2420">
        <v>49</v>
      </c>
      <c r="N2420">
        <v>0</v>
      </c>
      <c r="O2420" s="1">
        <v>45582.445416666669</v>
      </c>
      <c r="P2420" t="s">
        <v>138</v>
      </c>
    </row>
    <row r="2421" spans="1:16" x14ac:dyDescent="0.3">
      <c r="A2421" t="s">
        <v>25</v>
      </c>
      <c r="B2421" s="1">
        <v>45582.445405092592</v>
      </c>
      <c r="C2421" t="str">
        <f t="shared" si="459"/>
        <v>41</v>
      </c>
      <c r="D2421" t="s">
        <v>120</v>
      </c>
      <c r="E2421" t="s">
        <v>116</v>
      </c>
      <c r="F2421" t="s">
        <v>117</v>
      </c>
      <c r="H2421" t="s">
        <v>671</v>
      </c>
      <c r="I2421" t="str">
        <f>"101570001106731"</f>
        <v>101570001106731</v>
      </c>
      <c r="J2421" t="str">
        <f t="shared" si="460"/>
        <v>126312</v>
      </c>
      <c r="K2421" t="s">
        <v>44</v>
      </c>
      <c r="L2421">
        <v>49</v>
      </c>
      <c r="M2421">
        <v>49</v>
      </c>
      <c r="N2421">
        <v>0</v>
      </c>
      <c r="O2421" s="1">
        <v>45582.445405092592</v>
      </c>
      <c r="P2421" t="s">
        <v>138</v>
      </c>
    </row>
    <row r="2422" spans="1:16" x14ac:dyDescent="0.3">
      <c r="A2422" t="s">
        <v>25</v>
      </c>
      <c r="B2422" s="1">
        <v>45582.445405092592</v>
      </c>
      <c r="C2422" t="str">
        <f t="shared" si="459"/>
        <v>41</v>
      </c>
      <c r="D2422" t="s">
        <v>120</v>
      </c>
      <c r="E2422" t="s">
        <v>116</v>
      </c>
      <c r="F2422" t="s">
        <v>117</v>
      </c>
      <c r="H2422" t="s">
        <v>671</v>
      </c>
      <c r="I2422" t="str">
        <f>"101570001107813"</f>
        <v>101570001107813</v>
      </c>
      <c r="J2422" t="str">
        <f t="shared" si="460"/>
        <v>126312</v>
      </c>
      <c r="K2422" t="s">
        <v>44</v>
      </c>
      <c r="L2422">
        <v>49</v>
      </c>
      <c r="M2422">
        <v>49</v>
      </c>
      <c r="N2422">
        <v>0</v>
      </c>
      <c r="O2422" s="1">
        <v>45582.445405092592</v>
      </c>
      <c r="P2422" t="s">
        <v>138</v>
      </c>
    </row>
    <row r="2423" spans="1:16" x14ac:dyDescent="0.3">
      <c r="A2423" t="s">
        <v>25</v>
      </c>
      <c r="B2423" s="1">
        <v>45582.445405092592</v>
      </c>
      <c r="C2423" t="str">
        <f t="shared" si="459"/>
        <v>41</v>
      </c>
      <c r="D2423" t="s">
        <v>120</v>
      </c>
      <c r="E2423" t="s">
        <v>116</v>
      </c>
      <c r="F2423" t="s">
        <v>117</v>
      </c>
      <c r="H2423" t="s">
        <v>671</v>
      </c>
      <c r="I2423" t="str">
        <f>"101570001106485"</f>
        <v>101570001106485</v>
      </c>
      <c r="J2423" t="str">
        <f t="shared" si="460"/>
        <v>126312</v>
      </c>
      <c r="K2423" t="s">
        <v>44</v>
      </c>
      <c r="L2423">
        <v>49</v>
      </c>
      <c r="M2423">
        <v>49</v>
      </c>
      <c r="N2423">
        <v>0</v>
      </c>
      <c r="O2423" s="1">
        <v>45582.445405092592</v>
      </c>
      <c r="P2423" t="s">
        <v>138</v>
      </c>
    </row>
    <row r="2424" spans="1:16" x14ac:dyDescent="0.3">
      <c r="A2424" t="s">
        <v>25</v>
      </c>
      <c r="B2424" s="1">
        <v>45582.445405092592</v>
      </c>
      <c r="C2424" t="str">
        <f t="shared" si="459"/>
        <v>41</v>
      </c>
      <c r="D2424" t="s">
        <v>120</v>
      </c>
      <c r="E2424" t="s">
        <v>116</v>
      </c>
      <c r="F2424" t="s">
        <v>117</v>
      </c>
      <c r="H2424" t="s">
        <v>671</v>
      </c>
      <c r="I2424" t="str">
        <f>"101570001106743"</f>
        <v>101570001106743</v>
      </c>
      <c r="J2424" t="str">
        <f t="shared" si="460"/>
        <v>126312</v>
      </c>
      <c r="K2424" t="s">
        <v>44</v>
      </c>
      <c r="L2424">
        <v>49</v>
      </c>
      <c r="M2424">
        <v>49</v>
      </c>
      <c r="N2424">
        <v>0</v>
      </c>
      <c r="O2424" s="1">
        <v>45582.445405092592</v>
      </c>
      <c r="P2424" t="s">
        <v>138</v>
      </c>
    </row>
    <row r="2425" spans="1:16" x14ac:dyDescent="0.3">
      <c r="A2425" t="s">
        <v>25</v>
      </c>
      <c r="B2425" s="1">
        <v>45582.445405092592</v>
      </c>
      <c r="C2425" t="str">
        <f t="shared" si="459"/>
        <v>41</v>
      </c>
      <c r="D2425" t="s">
        <v>120</v>
      </c>
      <c r="E2425" t="s">
        <v>116</v>
      </c>
      <c r="F2425" t="s">
        <v>117</v>
      </c>
      <c r="H2425" t="s">
        <v>671</v>
      </c>
      <c r="I2425" t="str">
        <f>"101570001107857"</f>
        <v>101570001107857</v>
      </c>
      <c r="J2425" t="str">
        <f t="shared" si="460"/>
        <v>126312</v>
      </c>
      <c r="K2425" t="s">
        <v>44</v>
      </c>
      <c r="L2425">
        <v>49</v>
      </c>
      <c r="M2425">
        <v>49</v>
      </c>
      <c r="N2425">
        <v>0</v>
      </c>
      <c r="O2425" s="1">
        <v>45582.445405092592</v>
      </c>
      <c r="P2425" t="s">
        <v>138</v>
      </c>
    </row>
    <row r="2426" spans="1:16" x14ac:dyDescent="0.3">
      <c r="A2426" t="s">
        <v>25</v>
      </c>
      <c r="B2426" s="1">
        <v>45582.445405092592</v>
      </c>
      <c r="C2426" t="str">
        <f t="shared" si="459"/>
        <v>41</v>
      </c>
      <c r="D2426" t="s">
        <v>120</v>
      </c>
      <c r="E2426" t="s">
        <v>116</v>
      </c>
      <c r="F2426" t="s">
        <v>117</v>
      </c>
      <c r="H2426" t="s">
        <v>671</v>
      </c>
      <c r="I2426" t="str">
        <f>"101570001106794"</f>
        <v>101570001106794</v>
      </c>
      <c r="J2426" t="str">
        <f t="shared" si="460"/>
        <v>126312</v>
      </c>
      <c r="K2426" t="s">
        <v>44</v>
      </c>
      <c r="L2426">
        <v>49</v>
      </c>
      <c r="M2426">
        <v>49</v>
      </c>
      <c r="N2426">
        <v>0</v>
      </c>
      <c r="O2426" s="1">
        <v>45582.445405092592</v>
      </c>
      <c r="P2426" t="s">
        <v>138</v>
      </c>
    </row>
    <row r="2427" spans="1:16" x14ac:dyDescent="0.3">
      <c r="A2427" t="s">
        <v>25</v>
      </c>
      <c r="B2427" s="1">
        <v>45582.444178240738</v>
      </c>
      <c r="C2427" t="str">
        <f>"38"</f>
        <v>38</v>
      </c>
      <c r="D2427" t="s">
        <v>115</v>
      </c>
      <c r="E2427" t="s">
        <v>116</v>
      </c>
      <c r="F2427" t="s">
        <v>117</v>
      </c>
      <c r="H2427" t="s">
        <v>672</v>
      </c>
      <c r="L2427">
        <v>0</v>
      </c>
      <c r="M2427">
        <v>0</v>
      </c>
      <c r="N2427">
        <v>0</v>
      </c>
      <c r="O2427" s="1">
        <v>45582.444178240738</v>
      </c>
      <c r="P2427" t="s">
        <v>122</v>
      </c>
    </row>
    <row r="2428" spans="1:16" x14ac:dyDescent="0.3">
      <c r="A2428" t="s">
        <v>25</v>
      </c>
      <c r="B2428" s="1">
        <v>45582.444178240738</v>
      </c>
      <c r="C2428" t="str">
        <f>"41"</f>
        <v>41</v>
      </c>
      <c r="D2428" t="s">
        <v>120</v>
      </c>
      <c r="E2428" t="s">
        <v>116</v>
      </c>
      <c r="F2428" t="s">
        <v>117</v>
      </c>
      <c r="H2428" t="s">
        <v>672</v>
      </c>
      <c r="I2428" t="str">
        <f>"101050001892078"</f>
        <v>101050001892078</v>
      </c>
      <c r="J2428" t="str">
        <f>"127310"</f>
        <v>127310</v>
      </c>
      <c r="K2428" t="s">
        <v>58</v>
      </c>
      <c r="L2428">
        <v>49</v>
      </c>
      <c r="M2428">
        <v>49</v>
      </c>
      <c r="N2428">
        <v>0</v>
      </c>
      <c r="O2428" s="1">
        <v>45582.444178240738</v>
      </c>
      <c r="P2428" t="s">
        <v>122</v>
      </c>
    </row>
    <row r="2429" spans="1:16" x14ac:dyDescent="0.3">
      <c r="A2429" t="s">
        <v>25</v>
      </c>
      <c r="B2429" s="1">
        <v>45582.444178240738</v>
      </c>
      <c r="C2429" t="str">
        <f>"41"</f>
        <v>41</v>
      </c>
      <c r="D2429" t="s">
        <v>120</v>
      </c>
      <c r="E2429" t="s">
        <v>116</v>
      </c>
      <c r="F2429" t="s">
        <v>117</v>
      </c>
      <c r="H2429" t="s">
        <v>672</v>
      </c>
      <c r="I2429" t="str">
        <f>"101050001908550"</f>
        <v>101050001908550</v>
      </c>
      <c r="J2429" t="str">
        <f>"127310"</f>
        <v>127310</v>
      </c>
      <c r="K2429" t="s">
        <v>58</v>
      </c>
      <c r="L2429">
        <v>49</v>
      </c>
      <c r="M2429">
        <v>49</v>
      </c>
      <c r="N2429">
        <v>0</v>
      </c>
      <c r="O2429" s="1">
        <v>45582.444178240738</v>
      </c>
      <c r="P2429" t="s">
        <v>122</v>
      </c>
    </row>
    <row r="2430" spans="1:16" x14ac:dyDescent="0.3">
      <c r="A2430" t="s">
        <v>25</v>
      </c>
      <c r="B2430" s="1">
        <v>45582.380578703705</v>
      </c>
      <c r="C2430" t="str">
        <f>"38"</f>
        <v>38</v>
      </c>
      <c r="D2430" t="s">
        <v>115</v>
      </c>
      <c r="E2430" t="s">
        <v>116</v>
      </c>
      <c r="F2430" t="s">
        <v>117</v>
      </c>
      <c r="H2430" t="s">
        <v>673</v>
      </c>
      <c r="L2430">
        <v>0</v>
      </c>
      <c r="M2430">
        <v>0</v>
      </c>
      <c r="N2430">
        <v>0</v>
      </c>
      <c r="O2430" s="1">
        <v>45582.380578703705</v>
      </c>
      <c r="P2430" t="s">
        <v>119</v>
      </c>
    </row>
    <row r="2431" spans="1:16" x14ac:dyDescent="0.3">
      <c r="A2431" t="s">
        <v>25</v>
      </c>
      <c r="B2431" s="1">
        <v>45582.380578703705</v>
      </c>
      <c r="C2431" t="str">
        <f t="shared" ref="C2431:C2437" si="461">"41"</f>
        <v>41</v>
      </c>
      <c r="D2431" t="s">
        <v>120</v>
      </c>
      <c r="E2431" t="s">
        <v>116</v>
      </c>
      <c r="F2431" t="s">
        <v>117</v>
      </c>
      <c r="H2431" t="s">
        <v>673</v>
      </c>
      <c r="I2431" t="str">
        <f>"101570001111837"</f>
        <v>101570001111837</v>
      </c>
      <c r="J2431" t="str">
        <f t="shared" ref="J2431:J2437" si="462">"48205"</f>
        <v>48205</v>
      </c>
      <c r="K2431" t="s">
        <v>20</v>
      </c>
      <c r="L2431">
        <v>49</v>
      </c>
      <c r="M2431">
        <v>49</v>
      </c>
      <c r="N2431">
        <v>0</v>
      </c>
      <c r="O2431" s="1">
        <v>45582.380578703705</v>
      </c>
      <c r="P2431" t="s">
        <v>119</v>
      </c>
    </row>
    <row r="2432" spans="1:16" x14ac:dyDescent="0.3">
      <c r="A2432" t="s">
        <v>25</v>
      </c>
      <c r="B2432" s="1">
        <v>45582.380578703705</v>
      </c>
      <c r="C2432" t="str">
        <f t="shared" si="461"/>
        <v>41</v>
      </c>
      <c r="D2432" t="s">
        <v>120</v>
      </c>
      <c r="E2432" t="s">
        <v>116</v>
      </c>
      <c r="F2432" t="s">
        <v>117</v>
      </c>
      <c r="H2432" t="s">
        <v>673</v>
      </c>
      <c r="I2432" t="str">
        <f>"101570001111806"</f>
        <v>101570001111806</v>
      </c>
      <c r="J2432" t="str">
        <f t="shared" si="462"/>
        <v>48205</v>
      </c>
      <c r="K2432" t="s">
        <v>20</v>
      </c>
      <c r="L2432">
        <v>49</v>
      </c>
      <c r="M2432">
        <v>49</v>
      </c>
      <c r="N2432">
        <v>0</v>
      </c>
      <c r="O2432" s="1">
        <v>45582.380578703705</v>
      </c>
      <c r="P2432" t="s">
        <v>119</v>
      </c>
    </row>
    <row r="2433" spans="1:16" x14ac:dyDescent="0.3">
      <c r="A2433" t="s">
        <v>25</v>
      </c>
      <c r="B2433" s="1">
        <v>45582.380567129629</v>
      </c>
      <c r="C2433" t="str">
        <f t="shared" si="461"/>
        <v>41</v>
      </c>
      <c r="D2433" t="s">
        <v>120</v>
      </c>
      <c r="E2433" t="s">
        <v>116</v>
      </c>
      <c r="F2433" t="s">
        <v>117</v>
      </c>
      <c r="H2433" t="s">
        <v>673</v>
      </c>
      <c r="I2433" t="str">
        <f>"101570001111725"</f>
        <v>101570001111725</v>
      </c>
      <c r="J2433" t="str">
        <f t="shared" si="462"/>
        <v>48205</v>
      </c>
      <c r="K2433" t="s">
        <v>20</v>
      </c>
      <c r="L2433">
        <v>49</v>
      </c>
      <c r="M2433">
        <v>49</v>
      </c>
      <c r="N2433">
        <v>0</v>
      </c>
      <c r="O2433" s="1">
        <v>45582.380567129629</v>
      </c>
      <c r="P2433" t="s">
        <v>119</v>
      </c>
    </row>
    <row r="2434" spans="1:16" x14ac:dyDescent="0.3">
      <c r="A2434" t="s">
        <v>25</v>
      </c>
      <c r="B2434" s="1">
        <v>45582.380567129629</v>
      </c>
      <c r="C2434" t="str">
        <f t="shared" si="461"/>
        <v>41</v>
      </c>
      <c r="D2434" t="s">
        <v>120</v>
      </c>
      <c r="E2434" t="s">
        <v>116</v>
      </c>
      <c r="F2434" t="s">
        <v>117</v>
      </c>
      <c r="H2434" t="s">
        <v>673</v>
      </c>
      <c r="I2434" t="str">
        <f>"101570001108402"</f>
        <v>101570001108402</v>
      </c>
      <c r="J2434" t="str">
        <f t="shared" si="462"/>
        <v>48205</v>
      </c>
      <c r="K2434" t="s">
        <v>20</v>
      </c>
      <c r="L2434">
        <v>49</v>
      </c>
      <c r="M2434">
        <v>49</v>
      </c>
      <c r="N2434">
        <v>0</v>
      </c>
      <c r="O2434" s="1">
        <v>45582.380567129629</v>
      </c>
      <c r="P2434" t="s">
        <v>119</v>
      </c>
    </row>
    <row r="2435" spans="1:16" x14ac:dyDescent="0.3">
      <c r="A2435" t="s">
        <v>25</v>
      </c>
      <c r="B2435" s="1">
        <v>45582.380567129629</v>
      </c>
      <c r="C2435" t="str">
        <f t="shared" si="461"/>
        <v>41</v>
      </c>
      <c r="D2435" t="s">
        <v>120</v>
      </c>
      <c r="E2435" t="s">
        <v>116</v>
      </c>
      <c r="F2435" t="s">
        <v>117</v>
      </c>
      <c r="H2435" t="s">
        <v>673</v>
      </c>
      <c r="I2435" t="str">
        <f>"101570001108378"</f>
        <v>101570001108378</v>
      </c>
      <c r="J2435" t="str">
        <f t="shared" si="462"/>
        <v>48205</v>
      </c>
      <c r="K2435" t="s">
        <v>20</v>
      </c>
      <c r="L2435">
        <v>49</v>
      </c>
      <c r="M2435">
        <v>49</v>
      </c>
      <c r="N2435">
        <v>0</v>
      </c>
      <c r="O2435" s="1">
        <v>45582.380567129629</v>
      </c>
      <c r="P2435" t="s">
        <v>119</v>
      </c>
    </row>
    <row r="2436" spans="1:16" x14ac:dyDescent="0.3">
      <c r="A2436" t="s">
        <v>25</v>
      </c>
      <c r="B2436" s="1">
        <v>45582.380567129629</v>
      </c>
      <c r="C2436" t="str">
        <f t="shared" si="461"/>
        <v>41</v>
      </c>
      <c r="D2436" t="s">
        <v>120</v>
      </c>
      <c r="E2436" t="s">
        <v>116</v>
      </c>
      <c r="F2436" t="s">
        <v>117</v>
      </c>
      <c r="H2436" t="s">
        <v>673</v>
      </c>
      <c r="I2436" t="str">
        <f>"101570001108403"</f>
        <v>101570001108403</v>
      </c>
      <c r="J2436" t="str">
        <f t="shared" si="462"/>
        <v>48205</v>
      </c>
      <c r="K2436" t="s">
        <v>20</v>
      </c>
      <c r="L2436">
        <v>49</v>
      </c>
      <c r="M2436">
        <v>49</v>
      </c>
      <c r="N2436">
        <v>0</v>
      </c>
      <c r="O2436" s="1">
        <v>45582.380567129629</v>
      </c>
      <c r="P2436" t="s">
        <v>119</v>
      </c>
    </row>
    <row r="2437" spans="1:16" x14ac:dyDescent="0.3">
      <c r="A2437" t="s">
        <v>25</v>
      </c>
      <c r="B2437" s="1">
        <v>45582.380567129629</v>
      </c>
      <c r="C2437" t="str">
        <f t="shared" si="461"/>
        <v>41</v>
      </c>
      <c r="D2437" t="s">
        <v>120</v>
      </c>
      <c r="E2437" t="s">
        <v>116</v>
      </c>
      <c r="F2437" t="s">
        <v>117</v>
      </c>
      <c r="H2437" t="s">
        <v>673</v>
      </c>
      <c r="I2437" t="str">
        <f>"101570001108298"</f>
        <v>101570001108298</v>
      </c>
      <c r="J2437" t="str">
        <f t="shared" si="462"/>
        <v>48205</v>
      </c>
      <c r="K2437" t="s">
        <v>20</v>
      </c>
      <c r="L2437">
        <v>49</v>
      </c>
      <c r="M2437">
        <v>49</v>
      </c>
      <c r="N2437">
        <v>0</v>
      </c>
      <c r="O2437" s="1">
        <v>45582.380567129629</v>
      </c>
      <c r="P2437" t="s">
        <v>119</v>
      </c>
    </row>
    <row r="2438" spans="1:16" x14ac:dyDescent="0.3">
      <c r="A2438" t="s">
        <v>25</v>
      </c>
      <c r="B2438" s="1">
        <v>45582.378738425927</v>
      </c>
      <c r="C2438" t="str">
        <f>"38"</f>
        <v>38</v>
      </c>
      <c r="D2438" t="s">
        <v>115</v>
      </c>
      <c r="E2438" t="s">
        <v>116</v>
      </c>
      <c r="F2438" t="s">
        <v>117</v>
      </c>
      <c r="H2438" t="s">
        <v>674</v>
      </c>
      <c r="L2438">
        <v>0</v>
      </c>
      <c r="M2438">
        <v>0</v>
      </c>
      <c r="N2438">
        <v>0</v>
      </c>
      <c r="O2438" s="1">
        <v>45582.378738425927</v>
      </c>
      <c r="P2438" t="s">
        <v>119</v>
      </c>
    </row>
    <row r="2439" spans="1:16" x14ac:dyDescent="0.3">
      <c r="A2439" t="s">
        <v>25</v>
      </c>
      <c r="B2439" s="1">
        <v>45582.378738425927</v>
      </c>
      <c r="C2439" t="str">
        <f>"41"</f>
        <v>41</v>
      </c>
      <c r="D2439" t="s">
        <v>120</v>
      </c>
      <c r="E2439" t="s">
        <v>116</v>
      </c>
      <c r="F2439" t="s">
        <v>117</v>
      </c>
      <c r="H2439" t="s">
        <v>674</v>
      </c>
      <c r="I2439" t="str">
        <f>"101050002009229"</f>
        <v>101050002009229</v>
      </c>
      <c r="J2439" t="str">
        <f>"128504"</f>
        <v>128504</v>
      </c>
      <c r="K2439" t="s">
        <v>71</v>
      </c>
      <c r="L2439">
        <v>49</v>
      </c>
      <c r="M2439">
        <v>49</v>
      </c>
      <c r="N2439">
        <v>0</v>
      </c>
      <c r="O2439" s="1">
        <v>45582.378738425927</v>
      </c>
      <c r="P2439" t="s">
        <v>119</v>
      </c>
    </row>
    <row r="2440" spans="1:16" x14ac:dyDescent="0.3">
      <c r="A2440" t="s">
        <v>25</v>
      </c>
      <c r="B2440" s="1">
        <v>45582.378738425927</v>
      </c>
      <c r="C2440" t="str">
        <f>"41"</f>
        <v>41</v>
      </c>
      <c r="D2440" t="s">
        <v>120</v>
      </c>
      <c r="E2440" t="s">
        <v>116</v>
      </c>
      <c r="F2440" t="s">
        <v>117</v>
      </c>
      <c r="H2440" t="s">
        <v>674</v>
      </c>
      <c r="I2440" t="str">
        <f>"101050002009094"</f>
        <v>101050002009094</v>
      </c>
      <c r="J2440" t="str">
        <f>"128504"</f>
        <v>128504</v>
      </c>
      <c r="K2440" t="s">
        <v>71</v>
      </c>
      <c r="L2440">
        <v>49</v>
      </c>
      <c r="M2440">
        <v>49</v>
      </c>
      <c r="N2440">
        <v>0</v>
      </c>
      <c r="O2440" s="1">
        <v>45582.378738425927</v>
      </c>
      <c r="P2440" t="s">
        <v>119</v>
      </c>
    </row>
    <row r="2441" spans="1:16" x14ac:dyDescent="0.3">
      <c r="A2441" t="s">
        <v>25</v>
      </c>
      <c r="B2441" s="1">
        <v>45582.378738425927</v>
      </c>
      <c r="C2441" t="str">
        <f>"41"</f>
        <v>41</v>
      </c>
      <c r="D2441" t="s">
        <v>120</v>
      </c>
      <c r="E2441" t="s">
        <v>116</v>
      </c>
      <c r="F2441" t="s">
        <v>117</v>
      </c>
      <c r="H2441" t="s">
        <v>674</v>
      </c>
      <c r="I2441" t="str">
        <f>"101050002009203"</f>
        <v>101050002009203</v>
      </c>
      <c r="J2441" t="str">
        <f>"128504"</f>
        <v>128504</v>
      </c>
      <c r="K2441" t="s">
        <v>71</v>
      </c>
      <c r="L2441">
        <v>49</v>
      </c>
      <c r="M2441">
        <v>49</v>
      </c>
      <c r="N2441">
        <v>0</v>
      </c>
      <c r="O2441" s="1">
        <v>45582.378738425927</v>
      </c>
      <c r="P2441" t="s">
        <v>119</v>
      </c>
    </row>
    <row r="2442" spans="1:16" x14ac:dyDescent="0.3">
      <c r="A2442" t="s">
        <v>25</v>
      </c>
      <c r="B2442" s="1">
        <v>45582.377997685187</v>
      </c>
      <c r="C2442" t="str">
        <f>"38"</f>
        <v>38</v>
      </c>
      <c r="D2442" t="s">
        <v>115</v>
      </c>
      <c r="E2442" t="s">
        <v>116</v>
      </c>
      <c r="F2442" t="s">
        <v>117</v>
      </c>
      <c r="H2442" t="s">
        <v>675</v>
      </c>
      <c r="L2442">
        <v>0</v>
      </c>
      <c r="M2442">
        <v>0</v>
      </c>
      <c r="N2442">
        <v>0</v>
      </c>
      <c r="O2442" s="1">
        <v>45582.377997685187</v>
      </c>
      <c r="P2442" t="s">
        <v>392</v>
      </c>
    </row>
    <row r="2443" spans="1:16" x14ac:dyDescent="0.3">
      <c r="A2443" t="s">
        <v>25</v>
      </c>
      <c r="B2443" s="1">
        <v>45582.377997685187</v>
      </c>
      <c r="C2443" t="str">
        <f t="shared" ref="C2443:C2449" si="463">"41"</f>
        <v>41</v>
      </c>
      <c r="D2443" t="s">
        <v>120</v>
      </c>
      <c r="E2443" t="s">
        <v>116</v>
      </c>
      <c r="F2443" t="s">
        <v>117</v>
      </c>
      <c r="H2443" t="s">
        <v>675</v>
      </c>
      <c r="I2443" t="str">
        <f>"101050002004370"</f>
        <v>101050002004370</v>
      </c>
      <c r="J2443" t="str">
        <f t="shared" ref="J2443:J2449" si="464">"126471"</f>
        <v>126471</v>
      </c>
      <c r="K2443" t="s">
        <v>45</v>
      </c>
      <c r="L2443">
        <v>49</v>
      </c>
      <c r="M2443">
        <v>49</v>
      </c>
      <c r="N2443">
        <v>0</v>
      </c>
      <c r="O2443" s="1">
        <v>45582.377997685187</v>
      </c>
      <c r="P2443" t="s">
        <v>392</v>
      </c>
    </row>
    <row r="2444" spans="1:16" x14ac:dyDescent="0.3">
      <c r="A2444" t="s">
        <v>25</v>
      </c>
      <c r="B2444" s="1">
        <v>45582.377997685187</v>
      </c>
      <c r="C2444" t="str">
        <f t="shared" si="463"/>
        <v>41</v>
      </c>
      <c r="D2444" t="s">
        <v>120</v>
      </c>
      <c r="E2444" t="s">
        <v>116</v>
      </c>
      <c r="F2444" t="s">
        <v>117</v>
      </c>
      <c r="H2444" t="s">
        <v>675</v>
      </c>
      <c r="I2444" t="str">
        <f>"101050002004292"</f>
        <v>101050002004292</v>
      </c>
      <c r="J2444" t="str">
        <f t="shared" si="464"/>
        <v>126471</v>
      </c>
      <c r="K2444" t="s">
        <v>45</v>
      </c>
      <c r="L2444">
        <v>49</v>
      </c>
      <c r="M2444">
        <v>49</v>
      </c>
      <c r="N2444">
        <v>0</v>
      </c>
      <c r="O2444" s="1">
        <v>45582.377997685187</v>
      </c>
      <c r="P2444" t="s">
        <v>392</v>
      </c>
    </row>
    <row r="2445" spans="1:16" x14ac:dyDescent="0.3">
      <c r="A2445" t="s">
        <v>25</v>
      </c>
      <c r="B2445" s="1">
        <v>45582.377997685187</v>
      </c>
      <c r="C2445" t="str">
        <f t="shared" si="463"/>
        <v>41</v>
      </c>
      <c r="D2445" t="s">
        <v>120</v>
      </c>
      <c r="E2445" t="s">
        <v>116</v>
      </c>
      <c r="F2445" t="s">
        <v>117</v>
      </c>
      <c r="H2445" t="s">
        <v>675</v>
      </c>
      <c r="I2445" t="str">
        <f>"101050002004293"</f>
        <v>101050002004293</v>
      </c>
      <c r="J2445" t="str">
        <f t="shared" si="464"/>
        <v>126471</v>
      </c>
      <c r="K2445" t="s">
        <v>45</v>
      </c>
      <c r="L2445">
        <v>49</v>
      </c>
      <c r="M2445">
        <v>49</v>
      </c>
      <c r="N2445">
        <v>0</v>
      </c>
      <c r="O2445" s="1">
        <v>45582.377997685187</v>
      </c>
      <c r="P2445" t="s">
        <v>392</v>
      </c>
    </row>
    <row r="2446" spans="1:16" x14ac:dyDescent="0.3">
      <c r="A2446" t="s">
        <v>25</v>
      </c>
      <c r="B2446" s="1">
        <v>45582.377986111111</v>
      </c>
      <c r="C2446" t="str">
        <f t="shared" si="463"/>
        <v>41</v>
      </c>
      <c r="D2446" t="s">
        <v>120</v>
      </c>
      <c r="E2446" t="s">
        <v>116</v>
      </c>
      <c r="F2446" t="s">
        <v>117</v>
      </c>
      <c r="H2446" t="s">
        <v>675</v>
      </c>
      <c r="I2446" t="str">
        <f>"101050002003959"</f>
        <v>101050002003959</v>
      </c>
      <c r="J2446" t="str">
        <f t="shared" si="464"/>
        <v>126471</v>
      </c>
      <c r="K2446" t="s">
        <v>45</v>
      </c>
      <c r="L2446">
        <v>49</v>
      </c>
      <c r="M2446">
        <v>49</v>
      </c>
      <c r="N2446">
        <v>0</v>
      </c>
      <c r="O2446" s="1">
        <v>45582.377986111111</v>
      </c>
      <c r="P2446" t="s">
        <v>392</v>
      </c>
    </row>
    <row r="2447" spans="1:16" x14ac:dyDescent="0.3">
      <c r="A2447" t="s">
        <v>25</v>
      </c>
      <c r="B2447" s="1">
        <v>45582.377986111111</v>
      </c>
      <c r="C2447" t="str">
        <f t="shared" si="463"/>
        <v>41</v>
      </c>
      <c r="D2447" t="s">
        <v>120</v>
      </c>
      <c r="E2447" t="s">
        <v>116</v>
      </c>
      <c r="F2447" t="s">
        <v>117</v>
      </c>
      <c r="H2447" t="s">
        <v>675</v>
      </c>
      <c r="I2447" t="str">
        <f>"101050002003876"</f>
        <v>101050002003876</v>
      </c>
      <c r="J2447" t="str">
        <f t="shared" si="464"/>
        <v>126471</v>
      </c>
      <c r="K2447" t="s">
        <v>45</v>
      </c>
      <c r="L2447">
        <v>49</v>
      </c>
      <c r="M2447">
        <v>49</v>
      </c>
      <c r="N2447">
        <v>0</v>
      </c>
      <c r="O2447" s="1">
        <v>45582.377986111111</v>
      </c>
      <c r="P2447" t="s">
        <v>392</v>
      </c>
    </row>
    <row r="2448" spans="1:16" x14ac:dyDescent="0.3">
      <c r="A2448" t="s">
        <v>25</v>
      </c>
      <c r="B2448" s="1">
        <v>45582.377986111111</v>
      </c>
      <c r="C2448" t="str">
        <f t="shared" si="463"/>
        <v>41</v>
      </c>
      <c r="D2448" t="s">
        <v>120</v>
      </c>
      <c r="E2448" t="s">
        <v>116</v>
      </c>
      <c r="F2448" t="s">
        <v>117</v>
      </c>
      <c r="H2448" t="s">
        <v>675</v>
      </c>
      <c r="I2448" t="str">
        <f>"101050002017016"</f>
        <v>101050002017016</v>
      </c>
      <c r="J2448" t="str">
        <f t="shared" si="464"/>
        <v>126471</v>
      </c>
      <c r="K2448" t="s">
        <v>45</v>
      </c>
      <c r="L2448">
        <v>49</v>
      </c>
      <c r="M2448">
        <v>49</v>
      </c>
      <c r="N2448">
        <v>0</v>
      </c>
      <c r="O2448" s="1">
        <v>45582.377986111111</v>
      </c>
      <c r="P2448" t="s">
        <v>392</v>
      </c>
    </row>
    <row r="2449" spans="1:16" x14ac:dyDescent="0.3">
      <c r="A2449" t="s">
        <v>25</v>
      </c>
      <c r="B2449" s="1">
        <v>45582.377986111111</v>
      </c>
      <c r="C2449" t="str">
        <f t="shared" si="463"/>
        <v>41</v>
      </c>
      <c r="D2449" t="s">
        <v>120</v>
      </c>
      <c r="E2449" t="s">
        <v>116</v>
      </c>
      <c r="F2449" t="s">
        <v>117</v>
      </c>
      <c r="H2449" t="s">
        <v>675</v>
      </c>
      <c r="I2449" t="str">
        <f>"101050002003593"</f>
        <v>101050002003593</v>
      </c>
      <c r="J2449" t="str">
        <f t="shared" si="464"/>
        <v>126471</v>
      </c>
      <c r="K2449" t="s">
        <v>45</v>
      </c>
      <c r="L2449">
        <v>49</v>
      </c>
      <c r="M2449">
        <v>49</v>
      </c>
      <c r="N2449">
        <v>0</v>
      </c>
      <c r="O2449" s="1">
        <v>45582.377986111111</v>
      </c>
      <c r="P2449" t="s">
        <v>392</v>
      </c>
    </row>
    <row r="2450" spans="1:16" x14ac:dyDescent="0.3">
      <c r="A2450" t="s">
        <v>25</v>
      </c>
      <c r="B2450" s="1">
        <v>45582.377881944441</v>
      </c>
      <c r="C2450" t="str">
        <f>"38"</f>
        <v>38</v>
      </c>
      <c r="D2450" t="s">
        <v>115</v>
      </c>
      <c r="E2450" t="s">
        <v>116</v>
      </c>
      <c r="F2450" t="s">
        <v>117</v>
      </c>
      <c r="H2450" t="s">
        <v>676</v>
      </c>
      <c r="L2450">
        <v>0</v>
      </c>
      <c r="M2450">
        <v>0</v>
      </c>
      <c r="N2450">
        <v>0</v>
      </c>
      <c r="O2450" s="1">
        <v>45582.377881944441</v>
      </c>
      <c r="P2450" t="s">
        <v>138</v>
      </c>
    </row>
    <row r="2451" spans="1:16" x14ac:dyDescent="0.3">
      <c r="A2451" t="s">
        <v>25</v>
      </c>
      <c r="B2451" s="1">
        <v>45582.377881944441</v>
      </c>
      <c r="C2451" t="str">
        <f t="shared" ref="C2451:C2457" si="465">"41"</f>
        <v>41</v>
      </c>
      <c r="D2451" t="s">
        <v>120</v>
      </c>
      <c r="E2451" t="s">
        <v>116</v>
      </c>
      <c r="F2451" t="s">
        <v>117</v>
      </c>
      <c r="H2451" t="s">
        <v>676</v>
      </c>
      <c r="I2451" t="str">
        <f>"101050002016714"</f>
        <v>101050002016714</v>
      </c>
      <c r="J2451" t="str">
        <f t="shared" ref="J2451:J2457" si="466">"514846"</f>
        <v>514846</v>
      </c>
      <c r="K2451" t="s">
        <v>18</v>
      </c>
      <c r="L2451">
        <v>49</v>
      </c>
      <c r="M2451">
        <v>49</v>
      </c>
      <c r="N2451">
        <v>0</v>
      </c>
      <c r="O2451" s="1">
        <v>45582.377881944441</v>
      </c>
      <c r="P2451" t="s">
        <v>138</v>
      </c>
    </row>
    <row r="2452" spans="1:16" x14ac:dyDescent="0.3">
      <c r="A2452" t="s">
        <v>25</v>
      </c>
      <c r="B2452" s="1">
        <v>45582.377881944441</v>
      </c>
      <c r="C2452" t="str">
        <f t="shared" si="465"/>
        <v>41</v>
      </c>
      <c r="D2452" t="s">
        <v>120</v>
      </c>
      <c r="E2452" t="s">
        <v>116</v>
      </c>
      <c r="F2452" t="s">
        <v>117</v>
      </c>
      <c r="H2452" t="s">
        <v>676</v>
      </c>
      <c r="I2452" t="str">
        <f>"101050002016653"</f>
        <v>101050002016653</v>
      </c>
      <c r="J2452" t="str">
        <f t="shared" si="466"/>
        <v>514846</v>
      </c>
      <c r="K2452" t="s">
        <v>18</v>
      </c>
      <c r="L2452">
        <v>49</v>
      </c>
      <c r="M2452">
        <v>49</v>
      </c>
      <c r="N2452">
        <v>0</v>
      </c>
      <c r="O2452" s="1">
        <v>45582.377881944441</v>
      </c>
      <c r="P2452" t="s">
        <v>138</v>
      </c>
    </row>
    <row r="2453" spans="1:16" x14ac:dyDescent="0.3">
      <c r="A2453" t="s">
        <v>25</v>
      </c>
      <c r="B2453" s="1">
        <v>45582.377881944441</v>
      </c>
      <c r="C2453" t="str">
        <f t="shared" si="465"/>
        <v>41</v>
      </c>
      <c r="D2453" t="s">
        <v>120</v>
      </c>
      <c r="E2453" t="s">
        <v>116</v>
      </c>
      <c r="F2453" t="s">
        <v>117</v>
      </c>
      <c r="H2453" t="s">
        <v>676</v>
      </c>
      <c r="I2453" t="str">
        <f>"101050002016667"</f>
        <v>101050002016667</v>
      </c>
      <c r="J2453" t="str">
        <f t="shared" si="466"/>
        <v>514846</v>
      </c>
      <c r="K2453" t="s">
        <v>18</v>
      </c>
      <c r="L2453">
        <v>49</v>
      </c>
      <c r="M2453">
        <v>49</v>
      </c>
      <c r="N2453">
        <v>0</v>
      </c>
      <c r="O2453" s="1">
        <v>45582.377881944441</v>
      </c>
      <c r="P2453" t="s">
        <v>138</v>
      </c>
    </row>
    <row r="2454" spans="1:16" x14ac:dyDescent="0.3">
      <c r="A2454" t="s">
        <v>25</v>
      </c>
      <c r="B2454" s="1">
        <v>45582.377881944441</v>
      </c>
      <c r="C2454" t="str">
        <f t="shared" si="465"/>
        <v>41</v>
      </c>
      <c r="D2454" t="s">
        <v>120</v>
      </c>
      <c r="E2454" t="s">
        <v>116</v>
      </c>
      <c r="F2454" t="s">
        <v>117</v>
      </c>
      <c r="H2454" t="s">
        <v>676</v>
      </c>
      <c r="I2454" t="str">
        <f>"101050002016592"</f>
        <v>101050002016592</v>
      </c>
      <c r="J2454" t="str">
        <f t="shared" si="466"/>
        <v>514846</v>
      </c>
      <c r="K2454" t="s">
        <v>18</v>
      </c>
      <c r="L2454">
        <v>49</v>
      </c>
      <c r="M2454">
        <v>49</v>
      </c>
      <c r="N2454">
        <v>0</v>
      </c>
      <c r="O2454" s="1">
        <v>45582.377881944441</v>
      </c>
      <c r="P2454" t="s">
        <v>138</v>
      </c>
    </row>
    <row r="2455" spans="1:16" x14ac:dyDescent="0.3">
      <c r="A2455" t="s">
        <v>25</v>
      </c>
      <c r="B2455" s="1">
        <v>45582.377870370372</v>
      </c>
      <c r="C2455" t="str">
        <f t="shared" si="465"/>
        <v>41</v>
      </c>
      <c r="D2455" t="s">
        <v>120</v>
      </c>
      <c r="E2455" t="s">
        <v>116</v>
      </c>
      <c r="F2455" t="s">
        <v>117</v>
      </c>
      <c r="H2455" t="s">
        <v>676</v>
      </c>
      <c r="I2455" t="str">
        <f>"101050002016317"</f>
        <v>101050002016317</v>
      </c>
      <c r="J2455" t="str">
        <f t="shared" si="466"/>
        <v>514846</v>
      </c>
      <c r="K2455" t="s">
        <v>18</v>
      </c>
      <c r="L2455">
        <v>49</v>
      </c>
      <c r="M2455">
        <v>49</v>
      </c>
      <c r="N2455">
        <v>0</v>
      </c>
      <c r="O2455" s="1">
        <v>45582.377870370372</v>
      </c>
      <c r="P2455" t="s">
        <v>138</v>
      </c>
    </row>
    <row r="2456" spans="1:16" x14ac:dyDescent="0.3">
      <c r="A2456" t="s">
        <v>25</v>
      </c>
      <c r="B2456" s="1">
        <v>45582.377870370372</v>
      </c>
      <c r="C2456" t="str">
        <f t="shared" si="465"/>
        <v>41</v>
      </c>
      <c r="D2456" t="s">
        <v>120</v>
      </c>
      <c r="E2456" t="s">
        <v>116</v>
      </c>
      <c r="F2456" t="s">
        <v>117</v>
      </c>
      <c r="H2456" t="s">
        <v>676</v>
      </c>
      <c r="I2456" t="str">
        <f>"101050002015060"</f>
        <v>101050002015060</v>
      </c>
      <c r="J2456" t="str">
        <f t="shared" si="466"/>
        <v>514846</v>
      </c>
      <c r="K2456" t="s">
        <v>18</v>
      </c>
      <c r="L2456">
        <v>49</v>
      </c>
      <c r="M2456">
        <v>49</v>
      </c>
      <c r="N2456">
        <v>0</v>
      </c>
      <c r="O2456" s="1">
        <v>45582.377870370372</v>
      </c>
      <c r="P2456" t="s">
        <v>138</v>
      </c>
    </row>
    <row r="2457" spans="1:16" x14ac:dyDescent="0.3">
      <c r="A2457" t="s">
        <v>25</v>
      </c>
      <c r="B2457" s="1">
        <v>45582.377870370372</v>
      </c>
      <c r="C2457" t="str">
        <f t="shared" si="465"/>
        <v>41</v>
      </c>
      <c r="D2457" t="s">
        <v>120</v>
      </c>
      <c r="E2457" t="s">
        <v>116</v>
      </c>
      <c r="F2457" t="s">
        <v>117</v>
      </c>
      <c r="H2457" t="s">
        <v>676</v>
      </c>
      <c r="I2457" t="str">
        <f>"101050002008066"</f>
        <v>101050002008066</v>
      </c>
      <c r="J2457" t="str">
        <f t="shared" si="466"/>
        <v>514846</v>
      </c>
      <c r="K2457" t="s">
        <v>18</v>
      </c>
      <c r="L2457">
        <v>49</v>
      </c>
      <c r="M2457">
        <v>49</v>
      </c>
      <c r="N2457">
        <v>0</v>
      </c>
      <c r="O2457" s="1">
        <v>45582.377870370372</v>
      </c>
      <c r="P2457" t="s">
        <v>138</v>
      </c>
    </row>
    <row r="2458" spans="1:16" x14ac:dyDescent="0.3">
      <c r="A2458" t="s">
        <v>25</v>
      </c>
      <c r="B2458" s="1">
        <v>45582.37740740741</v>
      </c>
      <c r="C2458" t="str">
        <f>"38"</f>
        <v>38</v>
      </c>
      <c r="D2458" t="s">
        <v>115</v>
      </c>
      <c r="E2458" t="s">
        <v>116</v>
      </c>
      <c r="F2458" t="s">
        <v>117</v>
      </c>
      <c r="H2458" t="s">
        <v>677</v>
      </c>
      <c r="L2458">
        <v>0</v>
      </c>
      <c r="M2458">
        <v>0</v>
      </c>
      <c r="N2458">
        <v>0</v>
      </c>
      <c r="O2458" s="1">
        <v>45582.37740740741</v>
      </c>
      <c r="P2458" t="s">
        <v>138</v>
      </c>
    </row>
    <row r="2459" spans="1:16" x14ac:dyDescent="0.3">
      <c r="A2459" t="s">
        <v>25</v>
      </c>
      <c r="B2459" s="1">
        <v>45582.37740740741</v>
      </c>
      <c r="C2459" t="str">
        <f t="shared" ref="C2459:C2465" si="467">"41"</f>
        <v>41</v>
      </c>
      <c r="D2459" t="s">
        <v>120</v>
      </c>
      <c r="E2459" t="s">
        <v>116</v>
      </c>
      <c r="F2459" t="s">
        <v>117</v>
      </c>
      <c r="H2459" t="s">
        <v>677</v>
      </c>
      <c r="I2459" t="str">
        <f>"101050002008418"</f>
        <v>101050002008418</v>
      </c>
      <c r="J2459" t="str">
        <f t="shared" ref="J2459:J2465" si="468">"128319"</f>
        <v>128319</v>
      </c>
      <c r="K2459" t="s">
        <v>65</v>
      </c>
      <c r="L2459">
        <v>49</v>
      </c>
      <c r="M2459">
        <v>49</v>
      </c>
      <c r="N2459">
        <v>0</v>
      </c>
      <c r="O2459" s="1">
        <v>45582.37740740741</v>
      </c>
      <c r="P2459" t="s">
        <v>138</v>
      </c>
    </row>
    <row r="2460" spans="1:16" x14ac:dyDescent="0.3">
      <c r="A2460" t="s">
        <v>25</v>
      </c>
      <c r="B2460" s="1">
        <v>45582.37740740741</v>
      </c>
      <c r="C2460" t="str">
        <f t="shared" si="467"/>
        <v>41</v>
      </c>
      <c r="D2460" t="s">
        <v>120</v>
      </c>
      <c r="E2460" t="s">
        <v>116</v>
      </c>
      <c r="F2460" t="s">
        <v>117</v>
      </c>
      <c r="H2460" t="s">
        <v>677</v>
      </c>
      <c r="I2460" t="str">
        <f>"101050002008560"</f>
        <v>101050002008560</v>
      </c>
      <c r="J2460" t="str">
        <f t="shared" si="468"/>
        <v>128319</v>
      </c>
      <c r="K2460" t="s">
        <v>65</v>
      </c>
      <c r="L2460">
        <v>49</v>
      </c>
      <c r="M2460">
        <v>49</v>
      </c>
      <c r="N2460">
        <v>0</v>
      </c>
      <c r="O2460" s="1">
        <v>45582.37740740741</v>
      </c>
      <c r="P2460" t="s">
        <v>138</v>
      </c>
    </row>
    <row r="2461" spans="1:16" x14ac:dyDescent="0.3">
      <c r="A2461" t="s">
        <v>25</v>
      </c>
      <c r="B2461" s="1">
        <v>45582.37740740741</v>
      </c>
      <c r="C2461" t="str">
        <f t="shared" si="467"/>
        <v>41</v>
      </c>
      <c r="D2461" t="s">
        <v>120</v>
      </c>
      <c r="E2461" t="s">
        <v>116</v>
      </c>
      <c r="F2461" t="s">
        <v>117</v>
      </c>
      <c r="H2461" t="s">
        <v>677</v>
      </c>
      <c r="I2461" t="str">
        <f>"101050002008928"</f>
        <v>101050002008928</v>
      </c>
      <c r="J2461" t="str">
        <f t="shared" si="468"/>
        <v>128319</v>
      </c>
      <c r="K2461" t="s">
        <v>65</v>
      </c>
      <c r="L2461">
        <v>49</v>
      </c>
      <c r="M2461">
        <v>49</v>
      </c>
      <c r="N2461">
        <v>0</v>
      </c>
      <c r="O2461" s="1">
        <v>45582.37740740741</v>
      </c>
      <c r="P2461" t="s">
        <v>138</v>
      </c>
    </row>
    <row r="2462" spans="1:16" x14ac:dyDescent="0.3">
      <c r="A2462" t="s">
        <v>25</v>
      </c>
      <c r="B2462" s="1">
        <v>45582.37740740741</v>
      </c>
      <c r="C2462" t="str">
        <f t="shared" si="467"/>
        <v>41</v>
      </c>
      <c r="D2462" t="s">
        <v>120</v>
      </c>
      <c r="E2462" t="s">
        <v>116</v>
      </c>
      <c r="F2462" t="s">
        <v>117</v>
      </c>
      <c r="H2462" t="s">
        <v>677</v>
      </c>
      <c r="I2462" t="str">
        <f>"101050002009013"</f>
        <v>101050002009013</v>
      </c>
      <c r="J2462" t="str">
        <f t="shared" si="468"/>
        <v>128319</v>
      </c>
      <c r="K2462" t="s">
        <v>65</v>
      </c>
      <c r="L2462">
        <v>49</v>
      </c>
      <c r="M2462">
        <v>49</v>
      </c>
      <c r="N2462">
        <v>0</v>
      </c>
      <c r="O2462" s="1">
        <v>45582.37740740741</v>
      </c>
      <c r="P2462" t="s">
        <v>138</v>
      </c>
    </row>
    <row r="2463" spans="1:16" x14ac:dyDescent="0.3">
      <c r="A2463" t="s">
        <v>25</v>
      </c>
      <c r="B2463" s="1">
        <v>45582.377395833333</v>
      </c>
      <c r="C2463" t="str">
        <f t="shared" si="467"/>
        <v>41</v>
      </c>
      <c r="D2463" t="s">
        <v>120</v>
      </c>
      <c r="E2463" t="s">
        <v>116</v>
      </c>
      <c r="F2463" t="s">
        <v>117</v>
      </c>
      <c r="H2463" t="s">
        <v>677</v>
      </c>
      <c r="I2463" t="str">
        <f>"101050002008882"</f>
        <v>101050002008882</v>
      </c>
      <c r="J2463" t="str">
        <f t="shared" si="468"/>
        <v>128319</v>
      </c>
      <c r="K2463" t="s">
        <v>65</v>
      </c>
      <c r="L2463">
        <v>49</v>
      </c>
      <c r="M2463">
        <v>49</v>
      </c>
      <c r="N2463">
        <v>0</v>
      </c>
      <c r="O2463" s="1">
        <v>45582.377395833333</v>
      </c>
      <c r="P2463" t="s">
        <v>138</v>
      </c>
    </row>
    <row r="2464" spans="1:16" x14ac:dyDescent="0.3">
      <c r="A2464" t="s">
        <v>25</v>
      </c>
      <c r="B2464" s="1">
        <v>45582.377395833333</v>
      </c>
      <c r="C2464" t="str">
        <f t="shared" si="467"/>
        <v>41</v>
      </c>
      <c r="D2464" t="s">
        <v>120</v>
      </c>
      <c r="E2464" t="s">
        <v>116</v>
      </c>
      <c r="F2464" t="s">
        <v>117</v>
      </c>
      <c r="H2464" t="s">
        <v>677</v>
      </c>
      <c r="I2464" t="str">
        <f>"101050002008398"</f>
        <v>101050002008398</v>
      </c>
      <c r="J2464" t="str">
        <f t="shared" si="468"/>
        <v>128319</v>
      </c>
      <c r="K2464" t="s">
        <v>65</v>
      </c>
      <c r="L2464">
        <v>49</v>
      </c>
      <c r="M2464">
        <v>49</v>
      </c>
      <c r="N2464">
        <v>0</v>
      </c>
      <c r="O2464" s="1">
        <v>45582.377395833333</v>
      </c>
      <c r="P2464" t="s">
        <v>138</v>
      </c>
    </row>
    <row r="2465" spans="1:16" x14ac:dyDescent="0.3">
      <c r="A2465" t="s">
        <v>25</v>
      </c>
      <c r="B2465" s="1">
        <v>45582.377395833333</v>
      </c>
      <c r="C2465" t="str">
        <f t="shared" si="467"/>
        <v>41</v>
      </c>
      <c r="D2465" t="s">
        <v>120</v>
      </c>
      <c r="E2465" t="s">
        <v>116</v>
      </c>
      <c r="F2465" t="s">
        <v>117</v>
      </c>
      <c r="H2465" t="s">
        <v>677</v>
      </c>
      <c r="I2465" t="str">
        <f>"101050002009471"</f>
        <v>101050002009471</v>
      </c>
      <c r="J2465" t="str">
        <f t="shared" si="468"/>
        <v>128319</v>
      </c>
      <c r="K2465" t="s">
        <v>65</v>
      </c>
      <c r="L2465">
        <v>49</v>
      </c>
      <c r="M2465">
        <v>49</v>
      </c>
      <c r="N2465">
        <v>0</v>
      </c>
      <c r="O2465" s="1">
        <v>45582.377395833333</v>
      </c>
      <c r="P2465" t="s">
        <v>138</v>
      </c>
    </row>
    <row r="2466" spans="1:16" x14ac:dyDescent="0.3">
      <c r="A2466" t="s">
        <v>25</v>
      </c>
      <c r="B2466" s="1">
        <v>45582.377534722225</v>
      </c>
      <c r="C2466" t="str">
        <f>"38"</f>
        <v>38</v>
      </c>
      <c r="D2466" t="s">
        <v>115</v>
      </c>
      <c r="E2466" t="s">
        <v>116</v>
      </c>
      <c r="F2466" t="s">
        <v>117</v>
      </c>
      <c r="H2466" t="s">
        <v>678</v>
      </c>
      <c r="L2466">
        <v>0</v>
      </c>
      <c r="M2466">
        <v>0</v>
      </c>
      <c r="N2466">
        <v>0</v>
      </c>
      <c r="O2466" s="1">
        <v>45582.377534722225</v>
      </c>
      <c r="P2466" t="s">
        <v>392</v>
      </c>
    </row>
    <row r="2467" spans="1:16" x14ac:dyDescent="0.3">
      <c r="A2467" t="s">
        <v>25</v>
      </c>
      <c r="B2467" s="1">
        <v>45582.377534722225</v>
      </c>
      <c r="C2467" t="str">
        <f>"41"</f>
        <v>41</v>
      </c>
      <c r="D2467" t="s">
        <v>120</v>
      </c>
      <c r="E2467" t="s">
        <v>116</v>
      </c>
      <c r="F2467" t="s">
        <v>117</v>
      </c>
      <c r="H2467" t="s">
        <v>678</v>
      </c>
      <c r="I2467" t="str">
        <f>"101050002008696"</f>
        <v>101050002008696</v>
      </c>
      <c r="J2467" t="str">
        <f>"514846"</f>
        <v>514846</v>
      </c>
      <c r="K2467" t="s">
        <v>18</v>
      </c>
      <c r="L2467">
        <v>49</v>
      </c>
      <c r="M2467">
        <v>49</v>
      </c>
      <c r="N2467">
        <v>0</v>
      </c>
      <c r="O2467" s="1">
        <v>45582.377534722225</v>
      </c>
      <c r="P2467" t="s">
        <v>392</v>
      </c>
    </row>
    <row r="2468" spans="1:16" x14ac:dyDescent="0.3">
      <c r="A2468" t="s">
        <v>25</v>
      </c>
      <c r="B2468" s="1">
        <v>45582.377534722225</v>
      </c>
      <c r="C2468" t="str">
        <f>"41"</f>
        <v>41</v>
      </c>
      <c r="D2468" t="s">
        <v>120</v>
      </c>
      <c r="E2468" t="s">
        <v>116</v>
      </c>
      <c r="F2468" t="s">
        <v>117</v>
      </c>
      <c r="H2468" t="s">
        <v>678</v>
      </c>
      <c r="I2468" t="str">
        <f>"101050002009011"</f>
        <v>101050002009011</v>
      </c>
      <c r="J2468" t="str">
        <f>"514846"</f>
        <v>514846</v>
      </c>
      <c r="K2468" t="s">
        <v>18</v>
      </c>
      <c r="L2468">
        <v>49</v>
      </c>
      <c r="M2468">
        <v>49</v>
      </c>
      <c r="N2468">
        <v>0</v>
      </c>
      <c r="O2468" s="1">
        <v>45582.377534722225</v>
      </c>
      <c r="P2468" t="s">
        <v>392</v>
      </c>
    </row>
    <row r="2469" spans="1:16" x14ac:dyDescent="0.3">
      <c r="A2469" t="s">
        <v>25</v>
      </c>
      <c r="B2469" s="1">
        <v>45582.377534722225</v>
      </c>
      <c r="C2469" t="str">
        <f>"41"</f>
        <v>41</v>
      </c>
      <c r="D2469" t="s">
        <v>120</v>
      </c>
      <c r="E2469" t="s">
        <v>116</v>
      </c>
      <c r="F2469" t="s">
        <v>117</v>
      </c>
      <c r="H2469" t="s">
        <v>678</v>
      </c>
      <c r="I2469" t="str">
        <f>"101050002009291"</f>
        <v>101050002009291</v>
      </c>
      <c r="J2469" t="str">
        <f>"514846"</f>
        <v>514846</v>
      </c>
      <c r="K2469" t="s">
        <v>18</v>
      </c>
      <c r="L2469">
        <v>49</v>
      </c>
      <c r="M2469">
        <v>49</v>
      </c>
      <c r="N2469">
        <v>0</v>
      </c>
      <c r="O2469" s="1">
        <v>45582.377534722225</v>
      </c>
      <c r="P2469" t="s">
        <v>392</v>
      </c>
    </row>
    <row r="2470" spans="1:16" x14ac:dyDescent="0.3">
      <c r="A2470" t="s">
        <v>25</v>
      </c>
      <c r="B2470" s="1">
        <v>45582.377523148149</v>
      </c>
      <c r="C2470" t="str">
        <f>"41"</f>
        <v>41</v>
      </c>
      <c r="D2470" t="s">
        <v>120</v>
      </c>
      <c r="E2470" t="s">
        <v>116</v>
      </c>
      <c r="F2470" t="s">
        <v>117</v>
      </c>
      <c r="H2470" t="s">
        <v>678</v>
      </c>
      <c r="I2470" t="str">
        <f>"101050002009456"</f>
        <v>101050002009456</v>
      </c>
      <c r="J2470" t="str">
        <f>"514846"</f>
        <v>514846</v>
      </c>
      <c r="K2470" t="s">
        <v>18</v>
      </c>
      <c r="L2470">
        <v>49</v>
      </c>
      <c r="M2470">
        <v>49</v>
      </c>
      <c r="N2470">
        <v>0</v>
      </c>
      <c r="O2470" s="1">
        <v>45582.377523148149</v>
      </c>
      <c r="P2470" t="s">
        <v>392</v>
      </c>
    </row>
    <row r="2471" spans="1:16" x14ac:dyDescent="0.3">
      <c r="A2471" t="s">
        <v>25</v>
      </c>
      <c r="B2471" s="1">
        <v>45582.376747685186</v>
      </c>
      <c r="C2471" t="str">
        <f>"38"</f>
        <v>38</v>
      </c>
      <c r="D2471" t="s">
        <v>115</v>
      </c>
      <c r="E2471" t="s">
        <v>116</v>
      </c>
      <c r="F2471" t="s">
        <v>117</v>
      </c>
      <c r="H2471" t="s">
        <v>679</v>
      </c>
      <c r="L2471">
        <v>0</v>
      </c>
      <c r="M2471">
        <v>0</v>
      </c>
      <c r="N2471">
        <v>0</v>
      </c>
      <c r="O2471" s="1">
        <v>45582.376747685186</v>
      </c>
      <c r="P2471" t="s">
        <v>392</v>
      </c>
    </row>
    <row r="2472" spans="1:16" x14ac:dyDescent="0.3">
      <c r="A2472" t="s">
        <v>25</v>
      </c>
      <c r="B2472" s="1">
        <v>45582.376747685186</v>
      </c>
      <c r="C2472" t="str">
        <f>"40"</f>
        <v>40</v>
      </c>
      <c r="D2472" t="s">
        <v>220</v>
      </c>
      <c r="E2472" t="s">
        <v>116</v>
      </c>
      <c r="F2472" t="s">
        <v>117</v>
      </c>
      <c r="G2472" t="s">
        <v>221</v>
      </c>
      <c r="H2472" t="s">
        <v>679</v>
      </c>
      <c r="I2472" t="str">
        <f>"101570001108401"</f>
        <v>101570001108401</v>
      </c>
      <c r="J2472" t="str">
        <f t="shared" ref="J2472:J2478" si="469">"48205"</f>
        <v>48205</v>
      </c>
      <c r="K2472" t="s">
        <v>20</v>
      </c>
      <c r="L2472">
        <v>49</v>
      </c>
      <c r="M2472">
        <v>0</v>
      </c>
      <c r="N2472">
        <v>-49</v>
      </c>
      <c r="O2472" s="1">
        <v>45582.376747685186</v>
      </c>
      <c r="P2472" t="s">
        <v>392</v>
      </c>
    </row>
    <row r="2473" spans="1:16" x14ac:dyDescent="0.3">
      <c r="A2473" t="s">
        <v>25</v>
      </c>
      <c r="B2473" s="1">
        <v>45582.376747685186</v>
      </c>
      <c r="C2473" t="str">
        <f t="shared" ref="C2473:C2478" si="470">"41"</f>
        <v>41</v>
      </c>
      <c r="D2473" t="s">
        <v>120</v>
      </c>
      <c r="E2473" t="s">
        <v>116</v>
      </c>
      <c r="F2473" t="s">
        <v>117</v>
      </c>
      <c r="H2473" t="s">
        <v>679</v>
      </c>
      <c r="I2473" t="str">
        <f>"101570001108350"</f>
        <v>101570001108350</v>
      </c>
      <c r="J2473" t="str">
        <f t="shared" si="469"/>
        <v>48205</v>
      </c>
      <c r="K2473" t="s">
        <v>20</v>
      </c>
      <c r="L2473">
        <v>49</v>
      </c>
      <c r="M2473">
        <v>49</v>
      </c>
      <c r="N2473">
        <v>0</v>
      </c>
      <c r="O2473" s="1">
        <v>45582.376747685186</v>
      </c>
      <c r="P2473" t="s">
        <v>392</v>
      </c>
    </row>
    <row r="2474" spans="1:16" x14ac:dyDescent="0.3">
      <c r="A2474" t="s">
        <v>25</v>
      </c>
      <c r="B2474" s="1">
        <v>45582.376747685186</v>
      </c>
      <c r="C2474" t="str">
        <f t="shared" si="470"/>
        <v>41</v>
      </c>
      <c r="D2474" t="s">
        <v>120</v>
      </c>
      <c r="E2474" t="s">
        <v>116</v>
      </c>
      <c r="F2474" t="s">
        <v>117</v>
      </c>
      <c r="H2474" t="s">
        <v>679</v>
      </c>
      <c r="I2474" t="str">
        <f>"101570001108352"</f>
        <v>101570001108352</v>
      </c>
      <c r="J2474" t="str">
        <f t="shared" si="469"/>
        <v>48205</v>
      </c>
      <c r="K2474" t="s">
        <v>20</v>
      </c>
      <c r="L2474">
        <v>49</v>
      </c>
      <c r="M2474">
        <v>49</v>
      </c>
      <c r="N2474">
        <v>0</v>
      </c>
      <c r="O2474" s="1">
        <v>45582.376747685186</v>
      </c>
      <c r="P2474" t="s">
        <v>392</v>
      </c>
    </row>
    <row r="2475" spans="1:16" x14ac:dyDescent="0.3">
      <c r="A2475" t="s">
        <v>25</v>
      </c>
      <c r="B2475" s="1">
        <v>45582.376736111109</v>
      </c>
      <c r="C2475" t="str">
        <f t="shared" si="470"/>
        <v>41</v>
      </c>
      <c r="D2475" t="s">
        <v>120</v>
      </c>
      <c r="E2475" t="s">
        <v>116</v>
      </c>
      <c r="F2475" t="s">
        <v>117</v>
      </c>
      <c r="H2475" t="s">
        <v>679</v>
      </c>
      <c r="I2475" t="str">
        <f>"101570001108351"</f>
        <v>101570001108351</v>
      </c>
      <c r="J2475" t="str">
        <f t="shared" si="469"/>
        <v>48205</v>
      </c>
      <c r="K2475" t="s">
        <v>20</v>
      </c>
      <c r="L2475">
        <v>49</v>
      </c>
      <c r="M2475">
        <v>49</v>
      </c>
      <c r="N2475">
        <v>0</v>
      </c>
      <c r="O2475" s="1">
        <v>45582.376736111109</v>
      </c>
      <c r="P2475" t="s">
        <v>392</v>
      </c>
    </row>
    <row r="2476" spans="1:16" x14ac:dyDescent="0.3">
      <c r="A2476" t="s">
        <v>25</v>
      </c>
      <c r="B2476" s="1">
        <v>45582.376736111109</v>
      </c>
      <c r="C2476" t="str">
        <f t="shared" si="470"/>
        <v>41</v>
      </c>
      <c r="D2476" t="s">
        <v>120</v>
      </c>
      <c r="E2476" t="s">
        <v>116</v>
      </c>
      <c r="F2476" t="s">
        <v>117</v>
      </c>
      <c r="H2476" t="s">
        <v>679</v>
      </c>
      <c r="I2476" t="str">
        <f>"101570001108354"</f>
        <v>101570001108354</v>
      </c>
      <c r="J2476" t="str">
        <f t="shared" si="469"/>
        <v>48205</v>
      </c>
      <c r="K2476" t="s">
        <v>20</v>
      </c>
      <c r="L2476">
        <v>49</v>
      </c>
      <c r="M2476">
        <v>49</v>
      </c>
      <c r="N2476">
        <v>0</v>
      </c>
      <c r="O2476" s="1">
        <v>45582.376736111109</v>
      </c>
      <c r="P2476" t="s">
        <v>392</v>
      </c>
    </row>
    <row r="2477" spans="1:16" x14ac:dyDescent="0.3">
      <c r="A2477" t="s">
        <v>25</v>
      </c>
      <c r="B2477" s="1">
        <v>45582.376736111109</v>
      </c>
      <c r="C2477" t="str">
        <f t="shared" si="470"/>
        <v>41</v>
      </c>
      <c r="D2477" t="s">
        <v>120</v>
      </c>
      <c r="E2477" t="s">
        <v>116</v>
      </c>
      <c r="F2477" t="s">
        <v>117</v>
      </c>
      <c r="H2477" t="s">
        <v>679</v>
      </c>
      <c r="I2477" t="str">
        <f>"101570001108356"</f>
        <v>101570001108356</v>
      </c>
      <c r="J2477" t="str">
        <f t="shared" si="469"/>
        <v>48205</v>
      </c>
      <c r="K2477" t="s">
        <v>20</v>
      </c>
      <c r="L2477">
        <v>49</v>
      </c>
      <c r="M2477">
        <v>49</v>
      </c>
      <c r="N2477">
        <v>0</v>
      </c>
      <c r="O2477" s="1">
        <v>45582.376736111109</v>
      </c>
      <c r="P2477" t="s">
        <v>392</v>
      </c>
    </row>
    <row r="2478" spans="1:16" x14ac:dyDescent="0.3">
      <c r="A2478" t="s">
        <v>25</v>
      </c>
      <c r="B2478" s="1">
        <v>45582.376736111109</v>
      </c>
      <c r="C2478" t="str">
        <f t="shared" si="470"/>
        <v>41</v>
      </c>
      <c r="D2478" t="s">
        <v>120</v>
      </c>
      <c r="E2478" t="s">
        <v>116</v>
      </c>
      <c r="F2478" t="s">
        <v>117</v>
      </c>
      <c r="H2478" t="s">
        <v>679</v>
      </c>
      <c r="I2478" t="str">
        <f>"101570001108400"</f>
        <v>101570001108400</v>
      </c>
      <c r="J2478" t="str">
        <f t="shared" si="469"/>
        <v>48205</v>
      </c>
      <c r="K2478" t="s">
        <v>20</v>
      </c>
      <c r="L2478">
        <v>49</v>
      </c>
      <c r="M2478">
        <v>49</v>
      </c>
      <c r="N2478">
        <v>0</v>
      </c>
      <c r="O2478" s="1">
        <v>45582.376736111109</v>
      </c>
      <c r="P2478" t="s">
        <v>392</v>
      </c>
    </row>
    <row r="2479" spans="1:16" x14ac:dyDescent="0.3">
      <c r="A2479" t="s">
        <v>25</v>
      </c>
      <c r="B2479" s="1">
        <v>45582.376469907409</v>
      </c>
      <c r="C2479" t="str">
        <f>"38"</f>
        <v>38</v>
      </c>
      <c r="D2479" t="s">
        <v>115</v>
      </c>
      <c r="E2479" t="s">
        <v>116</v>
      </c>
      <c r="F2479" t="s">
        <v>117</v>
      </c>
      <c r="H2479" t="s">
        <v>680</v>
      </c>
      <c r="L2479">
        <v>0</v>
      </c>
      <c r="M2479">
        <v>0</v>
      </c>
      <c r="N2479">
        <v>0</v>
      </c>
      <c r="O2479" s="1">
        <v>45582.376469907409</v>
      </c>
      <c r="P2479" t="s">
        <v>392</v>
      </c>
    </row>
    <row r="2480" spans="1:16" x14ac:dyDescent="0.3">
      <c r="A2480" t="s">
        <v>25</v>
      </c>
      <c r="B2480" s="1">
        <v>45582.376469907409</v>
      </c>
      <c r="C2480" t="str">
        <f>"41"</f>
        <v>41</v>
      </c>
      <c r="D2480" t="s">
        <v>120</v>
      </c>
      <c r="E2480" t="s">
        <v>116</v>
      </c>
      <c r="F2480" t="s">
        <v>117</v>
      </c>
      <c r="H2480" t="s">
        <v>680</v>
      </c>
      <c r="I2480" t="str">
        <f>"101050002017484"</f>
        <v>101050002017484</v>
      </c>
      <c r="J2480" t="str">
        <f>"126471"</f>
        <v>126471</v>
      </c>
      <c r="K2480" t="s">
        <v>45</v>
      </c>
      <c r="L2480">
        <v>49</v>
      </c>
      <c r="M2480">
        <v>49</v>
      </c>
      <c r="N2480">
        <v>0</v>
      </c>
      <c r="O2480" s="1">
        <v>45582.376469907409</v>
      </c>
      <c r="P2480" t="s">
        <v>392</v>
      </c>
    </row>
    <row r="2481" spans="1:16" x14ac:dyDescent="0.3">
      <c r="A2481" t="s">
        <v>25</v>
      </c>
      <c r="B2481" s="1">
        <v>45582.376469907409</v>
      </c>
      <c r="C2481" t="str">
        <f>"41"</f>
        <v>41</v>
      </c>
      <c r="D2481" t="s">
        <v>120</v>
      </c>
      <c r="E2481" t="s">
        <v>116</v>
      </c>
      <c r="F2481" t="s">
        <v>117</v>
      </c>
      <c r="H2481" t="s">
        <v>680</v>
      </c>
      <c r="I2481" t="str">
        <f>"101050002003007"</f>
        <v>101050002003007</v>
      </c>
      <c r="J2481" t="str">
        <f>"126471"</f>
        <v>126471</v>
      </c>
      <c r="K2481" t="s">
        <v>45</v>
      </c>
      <c r="L2481">
        <v>49</v>
      </c>
      <c r="M2481">
        <v>49</v>
      </c>
      <c r="N2481">
        <v>0</v>
      </c>
      <c r="O2481" s="1">
        <v>45582.376469907409</v>
      </c>
      <c r="P2481" t="s">
        <v>392</v>
      </c>
    </row>
    <row r="2482" spans="1:16" x14ac:dyDescent="0.3">
      <c r="A2482" t="s">
        <v>25</v>
      </c>
      <c r="B2482" s="1">
        <v>45582.376666666663</v>
      </c>
      <c r="C2482" t="str">
        <f>"38"</f>
        <v>38</v>
      </c>
      <c r="D2482" t="s">
        <v>115</v>
      </c>
      <c r="E2482" t="s">
        <v>116</v>
      </c>
      <c r="F2482" t="s">
        <v>117</v>
      </c>
      <c r="H2482" t="s">
        <v>681</v>
      </c>
      <c r="L2482">
        <v>0</v>
      </c>
      <c r="M2482">
        <v>0</v>
      </c>
      <c r="N2482">
        <v>0</v>
      </c>
      <c r="O2482" s="1">
        <v>45582.376666666663</v>
      </c>
      <c r="P2482" t="s">
        <v>119</v>
      </c>
    </row>
    <row r="2483" spans="1:16" x14ac:dyDescent="0.3">
      <c r="A2483" t="s">
        <v>25</v>
      </c>
      <c r="B2483" s="1">
        <v>45582.376666666663</v>
      </c>
      <c r="C2483" t="str">
        <f t="shared" ref="C2483:C2489" si="471">"41"</f>
        <v>41</v>
      </c>
      <c r="D2483" t="s">
        <v>120</v>
      </c>
      <c r="E2483" t="s">
        <v>116</v>
      </c>
      <c r="F2483" t="s">
        <v>117</v>
      </c>
      <c r="H2483" t="s">
        <v>681</v>
      </c>
      <c r="I2483" t="str">
        <f>"101050002022958"</f>
        <v>101050002022958</v>
      </c>
      <c r="J2483" t="str">
        <f t="shared" ref="J2483:J2489" si="472">"126473"</f>
        <v>126473</v>
      </c>
      <c r="K2483" t="s">
        <v>46</v>
      </c>
      <c r="L2483">
        <v>49</v>
      </c>
      <c r="M2483">
        <v>49</v>
      </c>
      <c r="N2483">
        <v>0</v>
      </c>
      <c r="O2483" s="1">
        <v>45582.376666666663</v>
      </c>
      <c r="P2483" t="s">
        <v>119</v>
      </c>
    </row>
    <row r="2484" spans="1:16" x14ac:dyDescent="0.3">
      <c r="A2484" t="s">
        <v>25</v>
      </c>
      <c r="B2484" s="1">
        <v>45582.376666666663</v>
      </c>
      <c r="C2484" t="str">
        <f t="shared" si="471"/>
        <v>41</v>
      </c>
      <c r="D2484" t="s">
        <v>120</v>
      </c>
      <c r="E2484" t="s">
        <v>116</v>
      </c>
      <c r="F2484" t="s">
        <v>117</v>
      </c>
      <c r="H2484" t="s">
        <v>681</v>
      </c>
      <c r="I2484" t="str">
        <f>"101050002022884"</f>
        <v>101050002022884</v>
      </c>
      <c r="J2484" t="str">
        <f t="shared" si="472"/>
        <v>126473</v>
      </c>
      <c r="K2484" t="s">
        <v>46</v>
      </c>
      <c r="L2484">
        <v>49</v>
      </c>
      <c r="M2484">
        <v>49</v>
      </c>
      <c r="N2484">
        <v>0</v>
      </c>
      <c r="O2484" s="1">
        <v>45582.376666666663</v>
      </c>
      <c r="P2484" t="s">
        <v>119</v>
      </c>
    </row>
    <row r="2485" spans="1:16" x14ac:dyDescent="0.3">
      <c r="A2485" t="s">
        <v>25</v>
      </c>
      <c r="B2485" s="1">
        <v>45582.376666666663</v>
      </c>
      <c r="C2485" t="str">
        <f t="shared" si="471"/>
        <v>41</v>
      </c>
      <c r="D2485" t="s">
        <v>120</v>
      </c>
      <c r="E2485" t="s">
        <v>116</v>
      </c>
      <c r="F2485" t="s">
        <v>117</v>
      </c>
      <c r="H2485" t="s">
        <v>681</v>
      </c>
      <c r="I2485" t="str">
        <f>"101050002022882"</f>
        <v>101050002022882</v>
      </c>
      <c r="J2485" t="str">
        <f t="shared" si="472"/>
        <v>126473</v>
      </c>
      <c r="K2485" t="s">
        <v>46</v>
      </c>
      <c r="L2485">
        <v>49</v>
      </c>
      <c r="M2485">
        <v>49</v>
      </c>
      <c r="N2485">
        <v>0</v>
      </c>
      <c r="O2485" s="1">
        <v>45582.376666666663</v>
      </c>
      <c r="P2485" t="s">
        <v>119</v>
      </c>
    </row>
    <row r="2486" spans="1:16" x14ac:dyDescent="0.3">
      <c r="A2486" t="s">
        <v>25</v>
      </c>
      <c r="B2486" s="1">
        <v>45582.376655092594</v>
      </c>
      <c r="C2486" t="str">
        <f t="shared" si="471"/>
        <v>41</v>
      </c>
      <c r="D2486" t="s">
        <v>120</v>
      </c>
      <c r="E2486" t="s">
        <v>116</v>
      </c>
      <c r="F2486" t="s">
        <v>117</v>
      </c>
      <c r="H2486" t="s">
        <v>681</v>
      </c>
      <c r="I2486" t="str">
        <f>"101050002023142"</f>
        <v>101050002023142</v>
      </c>
      <c r="J2486" t="str">
        <f t="shared" si="472"/>
        <v>126473</v>
      </c>
      <c r="K2486" t="s">
        <v>46</v>
      </c>
      <c r="L2486">
        <v>49</v>
      </c>
      <c r="M2486">
        <v>49</v>
      </c>
      <c r="N2486">
        <v>0</v>
      </c>
      <c r="O2486" s="1">
        <v>45582.376655092594</v>
      </c>
      <c r="P2486" t="s">
        <v>119</v>
      </c>
    </row>
    <row r="2487" spans="1:16" x14ac:dyDescent="0.3">
      <c r="A2487" t="s">
        <v>25</v>
      </c>
      <c r="B2487" s="1">
        <v>45582.376655092594</v>
      </c>
      <c r="C2487" t="str">
        <f t="shared" si="471"/>
        <v>41</v>
      </c>
      <c r="D2487" t="s">
        <v>120</v>
      </c>
      <c r="E2487" t="s">
        <v>116</v>
      </c>
      <c r="F2487" t="s">
        <v>117</v>
      </c>
      <c r="H2487" t="s">
        <v>681</v>
      </c>
      <c r="I2487" t="str">
        <f>"101050002023144"</f>
        <v>101050002023144</v>
      </c>
      <c r="J2487" t="str">
        <f t="shared" si="472"/>
        <v>126473</v>
      </c>
      <c r="K2487" t="s">
        <v>46</v>
      </c>
      <c r="L2487">
        <v>49</v>
      </c>
      <c r="M2487">
        <v>49</v>
      </c>
      <c r="N2487">
        <v>0</v>
      </c>
      <c r="O2487" s="1">
        <v>45582.376655092594</v>
      </c>
      <c r="P2487" t="s">
        <v>119</v>
      </c>
    </row>
    <row r="2488" spans="1:16" x14ac:dyDescent="0.3">
      <c r="A2488" t="s">
        <v>25</v>
      </c>
      <c r="B2488" s="1">
        <v>45582.376655092594</v>
      </c>
      <c r="C2488" t="str">
        <f t="shared" si="471"/>
        <v>41</v>
      </c>
      <c r="D2488" t="s">
        <v>120</v>
      </c>
      <c r="E2488" t="s">
        <v>116</v>
      </c>
      <c r="F2488" t="s">
        <v>117</v>
      </c>
      <c r="H2488" t="s">
        <v>681</v>
      </c>
      <c r="I2488" t="str">
        <f>"101050002010165"</f>
        <v>101050002010165</v>
      </c>
      <c r="J2488" t="str">
        <f t="shared" si="472"/>
        <v>126473</v>
      </c>
      <c r="K2488" t="s">
        <v>46</v>
      </c>
      <c r="L2488">
        <v>49</v>
      </c>
      <c r="M2488">
        <v>49</v>
      </c>
      <c r="N2488">
        <v>0</v>
      </c>
      <c r="O2488" s="1">
        <v>45582.376655092594</v>
      </c>
      <c r="P2488" t="s">
        <v>119</v>
      </c>
    </row>
    <row r="2489" spans="1:16" x14ac:dyDescent="0.3">
      <c r="A2489" t="s">
        <v>25</v>
      </c>
      <c r="B2489" s="1">
        <v>45582.376655092594</v>
      </c>
      <c r="C2489" t="str">
        <f t="shared" si="471"/>
        <v>41</v>
      </c>
      <c r="D2489" t="s">
        <v>120</v>
      </c>
      <c r="E2489" t="s">
        <v>116</v>
      </c>
      <c r="F2489" t="s">
        <v>117</v>
      </c>
      <c r="H2489" t="s">
        <v>681</v>
      </c>
      <c r="I2489" t="str">
        <f>"101050002010050"</f>
        <v>101050002010050</v>
      </c>
      <c r="J2489" t="str">
        <f t="shared" si="472"/>
        <v>126473</v>
      </c>
      <c r="K2489" t="s">
        <v>46</v>
      </c>
      <c r="L2489">
        <v>49</v>
      </c>
      <c r="M2489">
        <v>49</v>
      </c>
      <c r="N2489">
        <v>0</v>
      </c>
      <c r="O2489" s="1">
        <v>45582.376655092594</v>
      </c>
      <c r="P2489" t="s">
        <v>119</v>
      </c>
    </row>
    <row r="2490" spans="1:16" x14ac:dyDescent="0.3">
      <c r="A2490" t="s">
        <v>25</v>
      </c>
      <c r="B2490" s="1">
        <v>45582.3750462963</v>
      </c>
      <c r="C2490" t="str">
        <f>"38"</f>
        <v>38</v>
      </c>
      <c r="D2490" t="s">
        <v>115</v>
      </c>
      <c r="E2490" t="s">
        <v>116</v>
      </c>
      <c r="F2490" t="s">
        <v>117</v>
      </c>
      <c r="H2490" t="s">
        <v>682</v>
      </c>
      <c r="L2490">
        <v>0</v>
      </c>
      <c r="M2490">
        <v>0</v>
      </c>
      <c r="N2490">
        <v>0</v>
      </c>
      <c r="O2490" s="1">
        <v>45582.3750462963</v>
      </c>
      <c r="P2490" t="s">
        <v>122</v>
      </c>
    </row>
    <row r="2491" spans="1:16" x14ac:dyDescent="0.3">
      <c r="A2491" t="s">
        <v>25</v>
      </c>
      <c r="B2491" s="1">
        <v>45582.3750462963</v>
      </c>
      <c r="C2491" t="str">
        <f>"41"</f>
        <v>41</v>
      </c>
      <c r="D2491" t="s">
        <v>120</v>
      </c>
      <c r="E2491" t="s">
        <v>116</v>
      </c>
      <c r="F2491" t="s">
        <v>117</v>
      </c>
      <c r="H2491" t="s">
        <v>682</v>
      </c>
      <c r="I2491" t="str">
        <f>"101570001105887"</f>
        <v>101570001105887</v>
      </c>
      <c r="J2491" t="str">
        <f>"35549"</f>
        <v>35549</v>
      </c>
      <c r="K2491" t="s">
        <v>77</v>
      </c>
      <c r="L2491">
        <v>49</v>
      </c>
      <c r="M2491">
        <v>49</v>
      </c>
      <c r="N2491">
        <v>0</v>
      </c>
      <c r="O2491" s="1">
        <v>45582.3750462963</v>
      </c>
      <c r="P2491" t="s">
        <v>122</v>
      </c>
    </row>
    <row r="2492" spans="1:16" x14ac:dyDescent="0.3">
      <c r="A2492" t="s">
        <v>25</v>
      </c>
      <c r="B2492" s="1">
        <v>45582.3750462963</v>
      </c>
      <c r="C2492" t="str">
        <f>"41"</f>
        <v>41</v>
      </c>
      <c r="D2492" t="s">
        <v>120</v>
      </c>
      <c r="E2492" t="s">
        <v>116</v>
      </c>
      <c r="F2492" t="s">
        <v>117</v>
      </c>
      <c r="H2492" t="s">
        <v>682</v>
      </c>
      <c r="I2492" t="str">
        <f>"101570001105885"</f>
        <v>101570001105885</v>
      </c>
      <c r="J2492" t="str">
        <f>"35549"</f>
        <v>35549</v>
      </c>
      <c r="K2492" t="s">
        <v>77</v>
      </c>
      <c r="L2492">
        <v>49</v>
      </c>
      <c r="M2492">
        <v>49</v>
      </c>
      <c r="N2492">
        <v>0</v>
      </c>
      <c r="O2492" s="1">
        <v>45582.3750462963</v>
      </c>
      <c r="P2492" t="s">
        <v>122</v>
      </c>
    </row>
    <row r="2493" spans="1:16" x14ac:dyDescent="0.3">
      <c r="A2493" t="s">
        <v>25</v>
      </c>
      <c r="B2493" s="1">
        <v>45582.375034722223</v>
      </c>
      <c r="C2493" t="str">
        <f>"41"</f>
        <v>41</v>
      </c>
      <c r="D2493" t="s">
        <v>120</v>
      </c>
      <c r="E2493" t="s">
        <v>116</v>
      </c>
      <c r="F2493" t="s">
        <v>117</v>
      </c>
      <c r="H2493" t="s">
        <v>682</v>
      </c>
      <c r="I2493" t="str">
        <f>"101570001105749"</f>
        <v>101570001105749</v>
      </c>
      <c r="J2493" t="str">
        <f>"35549"</f>
        <v>35549</v>
      </c>
      <c r="K2493" t="s">
        <v>77</v>
      </c>
      <c r="L2493">
        <v>49</v>
      </c>
      <c r="M2493">
        <v>49</v>
      </c>
      <c r="N2493">
        <v>0</v>
      </c>
      <c r="O2493" s="1">
        <v>45582.375034722223</v>
      </c>
      <c r="P2493" t="s">
        <v>122</v>
      </c>
    </row>
    <row r="2494" spans="1:16" x14ac:dyDescent="0.3">
      <c r="A2494" t="s">
        <v>25</v>
      </c>
      <c r="B2494" s="1">
        <v>45582.374606481484</v>
      </c>
      <c r="C2494" t="str">
        <f>"38"</f>
        <v>38</v>
      </c>
      <c r="D2494" t="s">
        <v>115</v>
      </c>
      <c r="E2494" t="s">
        <v>116</v>
      </c>
      <c r="F2494" t="s">
        <v>117</v>
      </c>
      <c r="H2494" t="s">
        <v>683</v>
      </c>
      <c r="L2494">
        <v>0</v>
      </c>
      <c r="M2494">
        <v>0</v>
      </c>
      <c r="N2494">
        <v>0</v>
      </c>
      <c r="O2494" s="1">
        <v>45582.374606481484</v>
      </c>
      <c r="P2494" t="s">
        <v>119</v>
      </c>
    </row>
    <row r="2495" spans="1:16" x14ac:dyDescent="0.3">
      <c r="A2495" t="s">
        <v>25</v>
      </c>
      <c r="B2495" s="1">
        <v>45582.374606481484</v>
      </c>
      <c r="C2495" t="str">
        <f>"41"</f>
        <v>41</v>
      </c>
      <c r="D2495" t="s">
        <v>120</v>
      </c>
      <c r="E2495" t="s">
        <v>116</v>
      </c>
      <c r="F2495" t="s">
        <v>117</v>
      </c>
      <c r="H2495" t="s">
        <v>683</v>
      </c>
      <c r="I2495" t="str">
        <f>"101050001991332"</f>
        <v>101050001991332</v>
      </c>
      <c r="J2495" t="str">
        <f>"514496"</f>
        <v>514496</v>
      </c>
      <c r="K2495" t="s">
        <v>12</v>
      </c>
      <c r="L2495">
        <v>49</v>
      </c>
      <c r="M2495">
        <v>49</v>
      </c>
      <c r="N2495">
        <v>0</v>
      </c>
      <c r="O2495" s="1">
        <v>45582.374606481484</v>
      </c>
      <c r="P2495" t="s">
        <v>119</v>
      </c>
    </row>
    <row r="2496" spans="1:16" x14ac:dyDescent="0.3">
      <c r="A2496" t="s">
        <v>25</v>
      </c>
      <c r="B2496" s="1">
        <v>45582.374594907407</v>
      </c>
      <c r="C2496" t="str">
        <f>"41"</f>
        <v>41</v>
      </c>
      <c r="D2496" t="s">
        <v>120</v>
      </c>
      <c r="E2496" t="s">
        <v>116</v>
      </c>
      <c r="F2496" t="s">
        <v>117</v>
      </c>
      <c r="H2496" t="s">
        <v>683</v>
      </c>
      <c r="I2496" t="str">
        <f>"101050001975885"</f>
        <v>101050001975885</v>
      </c>
      <c r="J2496" t="str">
        <f>"514496"</f>
        <v>514496</v>
      </c>
      <c r="K2496" t="s">
        <v>12</v>
      </c>
      <c r="L2496">
        <v>49</v>
      </c>
      <c r="M2496">
        <v>49</v>
      </c>
      <c r="N2496">
        <v>0</v>
      </c>
      <c r="O2496" s="1">
        <v>45582.374594907407</v>
      </c>
      <c r="P2496" t="s">
        <v>119</v>
      </c>
    </row>
    <row r="2497" spans="1:16" x14ac:dyDescent="0.3">
      <c r="A2497" t="s">
        <v>25</v>
      </c>
      <c r="B2497" s="1">
        <v>45582.374594907407</v>
      </c>
      <c r="C2497" t="str">
        <f>"41"</f>
        <v>41</v>
      </c>
      <c r="D2497" t="s">
        <v>120</v>
      </c>
      <c r="E2497" t="s">
        <v>116</v>
      </c>
      <c r="F2497" t="s">
        <v>117</v>
      </c>
      <c r="H2497" t="s">
        <v>683</v>
      </c>
      <c r="I2497" t="str">
        <f>"101050001975881"</f>
        <v>101050001975881</v>
      </c>
      <c r="J2497" t="str">
        <f>"514496"</f>
        <v>514496</v>
      </c>
      <c r="K2497" t="s">
        <v>12</v>
      </c>
      <c r="L2497">
        <v>49</v>
      </c>
      <c r="M2497">
        <v>49</v>
      </c>
      <c r="N2497">
        <v>0</v>
      </c>
      <c r="O2497" s="1">
        <v>45582.374594907407</v>
      </c>
      <c r="P2497" t="s">
        <v>119</v>
      </c>
    </row>
    <row r="2498" spans="1:16" x14ac:dyDescent="0.3">
      <c r="A2498" t="s">
        <v>25</v>
      </c>
      <c r="B2498" s="1">
        <v>45582.374594907407</v>
      </c>
      <c r="C2498" t="str">
        <f>"41"</f>
        <v>41</v>
      </c>
      <c r="D2498" t="s">
        <v>120</v>
      </c>
      <c r="E2498" t="s">
        <v>116</v>
      </c>
      <c r="F2498" t="s">
        <v>117</v>
      </c>
      <c r="H2498" t="s">
        <v>683</v>
      </c>
      <c r="I2498" t="str">
        <f>"101050001975579"</f>
        <v>101050001975579</v>
      </c>
      <c r="J2498" t="str">
        <f>"514496"</f>
        <v>514496</v>
      </c>
      <c r="K2498" t="s">
        <v>12</v>
      </c>
      <c r="L2498">
        <v>49</v>
      </c>
      <c r="M2498">
        <v>49</v>
      </c>
      <c r="N2498">
        <v>0</v>
      </c>
      <c r="O2498" s="1">
        <v>45582.374594907407</v>
      </c>
      <c r="P2498" t="s">
        <v>119</v>
      </c>
    </row>
    <row r="2499" spans="1:16" x14ac:dyDescent="0.3">
      <c r="A2499" t="s">
        <v>25</v>
      </c>
      <c r="B2499" s="1">
        <v>45582.373449074075</v>
      </c>
      <c r="C2499" t="str">
        <f>"38"</f>
        <v>38</v>
      </c>
      <c r="D2499" t="s">
        <v>115</v>
      </c>
      <c r="E2499" t="s">
        <v>116</v>
      </c>
      <c r="F2499" t="s">
        <v>117</v>
      </c>
      <c r="H2499" t="s">
        <v>684</v>
      </c>
      <c r="L2499">
        <v>0</v>
      </c>
      <c r="M2499">
        <v>0</v>
      </c>
      <c r="N2499">
        <v>0</v>
      </c>
      <c r="O2499" s="1">
        <v>45582.373449074075</v>
      </c>
      <c r="P2499" t="s">
        <v>122</v>
      </c>
    </row>
    <row r="2500" spans="1:16" x14ac:dyDescent="0.3">
      <c r="A2500" t="s">
        <v>25</v>
      </c>
      <c r="B2500" s="1">
        <v>45582.373449074075</v>
      </c>
      <c r="C2500" t="str">
        <f t="shared" ref="C2500:C2506" si="473">"41"</f>
        <v>41</v>
      </c>
      <c r="D2500" t="s">
        <v>120</v>
      </c>
      <c r="E2500" t="s">
        <v>116</v>
      </c>
      <c r="F2500" t="s">
        <v>117</v>
      </c>
      <c r="H2500" t="s">
        <v>684</v>
      </c>
      <c r="I2500" t="str">
        <f>"101050002006695"</f>
        <v>101050002006695</v>
      </c>
      <c r="J2500" t="str">
        <f t="shared" ref="J2500:J2506" si="474">"0800"</f>
        <v>0800</v>
      </c>
      <c r="K2500" t="s">
        <v>26</v>
      </c>
      <c r="L2500">
        <v>49</v>
      </c>
      <c r="M2500">
        <v>49</v>
      </c>
      <c r="N2500">
        <v>0</v>
      </c>
      <c r="O2500" s="1">
        <v>45582.373449074075</v>
      </c>
      <c r="P2500" t="s">
        <v>122</v>
      </c>
    </row>
    <row r="2501" spans="1:16" x14ac:dyDescent="0.3">
      <c r="A2501" t="s">
        <v>25</v>
      </c>
      <c r="B2501" s="1">
        <v>45582.373449074075</v>
      </c>
      <c r="C2501" t="str">
        <f t="shared" si="473"/>
        <v>41</v>
      </c>
      <c r="D2501" t="s">
        <v>120</v>
      </c>
      <c r="E2501" t="s">
        <v>116</v>
      </c>
      <c r="F2501" t="s">
        <v>117</v>
      </c>
      <c r="H2501" t="s">
        <v>684</v>
      </c>
      <c r="I2501" t="str">
        <f>"101050002006696"</f>
        <v>101050002006696</v>
      </c>
      <c r="J2501" t="str">
        <f t="shared" si="474"/>
        <v>0800</v>
      </c>
      <c r="K2501" t="s">
        <v>26</v>
      </c>
      <c r="L2501">
        <v>49</v>
      </c>
      <c r="M2501">
        <v>49</v>
      </c>
      <c r="N2501">
        <v>0</v>
      </c>
      <c r="O2501" s="1">
        <v>45582.373449074075</v>
      </c>
      <c r="P2501" t="s">
        <v>122</v>
      </c>
    </row>
    <row r="2502" spans="1:16" x14ac:dyDescent="0.3">
      <c r="A2502" t="s">
        <v>25</v>
      </c>
      <c r="B2502" s="1">
        <v>45582.373449074075</v>
      </c>
      <c r="C2502" t="str">
        <f t="shared" si="473"/>
        <v>41</v>
      </c>
      <c r="D2502" t="s">
        <v>120</v>
      </c>
      <c r="E2502" t="s">
        <v>116</v>
      </c>
      <c r="F2502" t="s">
        <v>117</v>
      </c>
      <c r="H2502" t="s">
        <v>684</v>
      </c>
      <c r="I2502" t="str">
        <f>"101050002005899"</f>
        <v>101050002005899</v>
      </c>
      <c r="J2502" t="str">
        <f t="shared" si="474"/>
        <v>0800</v>
      </c>
      <c r="K2502" t="s">
        <v>26</v>
      </c>
      <c r="L2502">
        <v>49</v>
      </c>
      <c r="M2502">
        <v>49</v>
      </c>
      <c r="N2502">
        <v>0</v>
      </c>
      <c r="O2502" s="1">
        <v>45582.373449074075</v>
      </c>
      <c r="P2502" t="s">
        <v>122</v>
      </c>
    </row>
    <row r="2503" spans="1:16" x14ac:dyDescent="0.3">
      <c r="A2503" t="s">
        <v>25</v>
      </c>
      <c r="B2503" s="1">
        <v>45582.373449074075</v>
      </c>
      <c r="C2503" t="str">
        <f t="shared" si="473"/>
        <v>41</v>
      </c>
      <c r="D2503" t="s">
        <v>120</v>
      </c>
      <c r="E2503" t="s">
        <v>116</v>
      </c>
      <c r="F2503" t="s">
        <v>117</v>
      </c>
      <c r="H2503" t="s">
        <v>684</v>
      </c>
      <c r="I2503" t="str">
        <f>"101050002006308"</f>
        <v>101050002006308</v>
      </c>
      <c r="J2503" t="str">
        <f t="shared" si="474"/>
        <v>0800</v>
      </c>
      <c r="K2503" t="s">
        <v>26</v>
      </c>
      <c r="L2503">
        <v>49</v>
      </c>
      <c r="M2503">
        <v>49</v>
      </c>
      <c r="N2503">
        <v>0</v>
      </c>
      <c r="O2503" s="1">
        <v>45582.373449074075</v>
      </c>
      <c r="P2503" t="s">
        <v>122</v>
      </c>
    </row>
    <row r="2504" spans="1:16" x14ac:dyDescent="0.3">
      <c r="A2504" t="s">
        <v>25</v>
      </c>
      <c r="B2504" s="1">
        <v>45582.373449074075</v>
      </c>
      <c r="C2504" t="str">
        <f t="shared" si="473"/>
        <v>41</v>
      </c>
      <c r="D2504" t="s">
        <v>120</v>
      </c>
      <c r="E2504" t="s">
        <v>116</v>
      </c>
      <c r="F2504" t="s">
        <v>117</v>
      </c>
      <c r="H2504" t="s">
        <v>684</v>
      </c>
      <c r="I2504" t="str">
        <f>"101050002006309"</f>
        <v>101050002006309</v>
      </c>
      <c r="J2504" t="str">
        <f t="shared" si="474"/>
        <v>0800</v>
      </c>
      <c r="K2504" t="s">
        <v>26</v>
      </c>
      <c r="L2504">
        <v>49</v>
      </c>
      <c r="M2504">
        <v>49</v>
      </c>
      <c r="N2504">
        <v>0</v>
      </c>
      <c r="O2504" s="1">
        <v>45582.373449074075</v>
      </c>
      <c r="P2504" t="s">
        <v>122</v>
      </c>
    </row>
    <row r="2505" spans="1:16" x14ac:dyDescent="0.3">
      <c r="A2505" t="s">
        <v>25</v>
      </c>
      <c r="B2505" s="1">
        <v>45582.373449074075</v>
      </c>
      <c r="C2505" t="str">
        <f t="shared" si="473"/>
        <v>41</v>
      </c>
      <c r="D2505" t="s">
        <v>120</v>
      </c>
      <c r="E2505" t="s">
        <v>116</v>
      </c>
      <c r="F2505" t="s">
        <v>117</v>
      </c>
      <c r="H2505" t="s">
        <v>684</v>
      </c>
      <c r="I2505" t="str">
        <f>"101050002005905"</f>
        <v>101050002005905</v>
      </c>
      <c r="J2505" t="str">
        <f t="shared" si="474"/>
        <v>0800</v>
      </c>
      <c r="K2505" t="s">
        <v>26</v>
      </c>
      <c r="L2505">
        <v>49</v>
      </c>
      <c r="M2505">
        <v>49</v>
      </c>
      <c r="N2505">
        <v>0</v>
      </c>
      <c r="O2505" s="1">
        <v>45582.373449074075</v>
      </c>
      <c r="P2505" t="s">
        <v>122</v>
      </c>
    </row>
    <row r="2506" spans="1:16" x14ac:dyDescent="0.3">
      <c r="A2506" t="s">
        <v>25</v>
      </c>
      <c r="B2506" s="1">
        <v>45582.373437499999</v>
      </c>
      <c r="C2506" t="str">
        <f t="shared" si="473"/>
        <v>41</v>
      </c>
      <c r="D2506" t="s">
        <v>120</v>
      </c>
      <c r="E2506" t="s">
        <v>116</v>
      </c>
      <c r="F2506" t="s">
        <v>117</v>
      </c>
      <c r="H2506" t="s">
        <v>684</v>
      </c>
      <c r="I2506" t="str">
        <f>"101050002006697"</f>
        <v>101050002006697</v>
      </c>
      <c r="J2506" t="str">
        <f t="shared" si="474"/>
        <v>0800</v>
      </c>
      <c r="K2506" t="s">
        <v>26</v>
      </c>
      <c r="L2506">
        <v>49</v>
      </c>
      <c r="M2506">
        <v>49</v>
      </c>
      <c r="N2506">
        <v>0</v>
      </c>
      <c r="O2506" s="1">
        <v>45582.373437499999</v>
      </c>
      <c r="P2506" t="s">
        <v>122</v>
      </c>
    </row>
    <row r="2507" spans="1:16" x14ac:dyDescent="0.3">
      <c r="A2507" t="s">
        <v>25</v>
      </c>
      <c r="B2507" s="1">
        <v>45582.372384259259</v>
      </c>
      <c r="C2507" t="str">
        <f>"38"</f>
        <v>38</v>
      </c>
      <c r="D2507" t="s">
        <v>115</v>
      </c>
      <c r="E2507" t="s">
        <v>116</v>
      </c>
      <c r="F2507" t="s">
        <v>117</v>
      </c>
      <c r="H2507" t="s">
        <v>685</v>
      </c>
      <c r="L2507">
        <v>0</v>
      </c>
      <c r="M2507">
        <v>0</v>
      </c>
      <c r="N2507">
        <v>0</v>
      </c>
      <c r="O2507" s="1">
        <v>45582.372384259259</v>
      </c>
      <c r="P2507" t="s">
        <v>119</v>
      </c>
    </row>
    <row r="2508" spans="1:16" x14ac:dyDescent="0.3">
      <c r="A2508" t="s">
        <v>25</v>
      </c>
      <c r="B2508" s="1">
        <v>45582.371736111112</v>
      </c>
      <c r="C2508" t="str">
        <f>"38"</f>
        <v>38</v>
      </c>
      <c r="D2508" t="s">
        <v>115</v>
      </c>
      <c r="E2508" t="s">
        <v>116</v>
      </c>
      <c r="F2508" t="s">
        <v>117</v>
      </c>
      <c r="H2508" t="s">
        <v>686</v>
      </c>
      <c r="L2508">
        <v>0</v>
      </c>
      <c r="M2508">
        <v>0</v>
      </c>
      <c r="N2508">
        <v>0</v>
      </c>
      <c r="O2508" s="1">
        <v>45582.371736111112</v>
      </c>
      <c r="P2508" t="s">
        <v>122</v>
      </c>
    </row>
    <row r="2509" spans="1:16" x14ac:dyDescent="0.3">
      <c r="A2509" t="s">
        <v>25</v>
      </c>
      <c r="B2509" s="1">
        <v>45582.371736111112</v>
      </c>
      <c r="C2509" t="str">
        <f t="shared" ref="C2509:C2515" si="475">"41"</f>
        <v>41</v>
      </c>
      <c r="D2509" t="s">
        <v>120</v>
      </c>
      <c r="E2509" t="s">
        <v>116</v>
      </c>
      <c r="F2509" t="s">
        <v>117</v>
      </c>
      <c r="H2509" t="s">
        <v>686</v>
      </c>
      <c r="I2509" t="str">
        <f>"101050002006991"</f>
        <v>101050002006991</v>
      </c>
      <c r="J2509" t="str">
        <f t="shared" ref="J2509:J2515" si="476">"515060"</f>
        <v>515060</v>
      </c>
      <c r="K2509" t="s">
        <v>95</v>
      </c>
      <c r="L2509">
        <v>49</v>
      </c>
      <c r="M2509">
        <v>49</v>
      </c>
      <c r="N2509">
        <v>0</v>
      </c>
      <c r="O2509" s="1">
        <v>45582.371736111112</v>
      </c>
      <c r="P2509" t="s">
        <v>122</v>
      </c>
    </row>
    <row r="2510" spans="1:16" x14ac:dyDescent="0.3">
      <c r="A2510" t="s">
        <v>25</v>
      </c>
      <c r="B2510" s="1">
        <v>45582.371736111112</v>
      </c>
      <c r="C2510" t="str">
        <f t="shared" si="475"/>
        <v>41</v>
      </c>
      <c r="D2510" t="s">
        <v>120</v>
      </c>
      <c r="E2510" t="s">
        <v>116</v>
      </c>
      <c r="F2510" t="s">
        <v>117</v>
      </c>
      <c r="H2510" t="s">
        <v>686</v>
      </c>
      <c r="I2510" t="str">
        <f>"101050002006831"</f>
        <v>101050002006831</v>
      </c>
      <c r="J2510" t="str">
        <f t="shared" si="476"/>
        <v>515060</v>
      </c>
      <c r="K2510" t="s">
        <v>95</v>
      </c>
      <c r="L2510">
        <v>49</v>
      </c>
      <c r="M2510">
        <v>49</v>
      </c>
      <c r="N2510">
        <v>0</v>
      </c>
      <c r="O2510" s="1">
        <v>45582.371736111112</v>
      </c>
      <c r="P2510" t="s">
        <v>122</v>
      </c>
    </row>
    <row r="2511" spans="1:16" x14ac:dyDescent="0.3">
      <c r="A2511" t="s">
        <v>25</v>
      </c>
      <c r="B2511" s="1">
        <v>45582.371736111112</v>
      </c>
      <c r="C2511" t="str">
        <f t="shared" si="475"/>
        <v>41</v>
      </c>
      <c r="D2511" t="s">
        <v>120</v>
      </c>
      <c r="E2511" t="s">
        <v>116</v>
      </c>
      <c r="F2511" t="s">
        <v>117</v>
      </c>
      <c r="H2511" t="s">
        <v>686</v>
      </c>
      <c r="I2511" t="str">
        <f>"101050002006716"</f>
        <v>101050002006716</v>
      </c>
      <c r="J2511" t="str">
        <f t="shared" si="476"/>
        <v>515060</v>
      </c>
      <c r="K2511" t="s">
        <v>95</v>
      </c>
      <c r="L2511">
        <v>49</v>
      </c>
      <c r="M2511">
        <v>49</v>
      </c>
      <c r="N2511">
        <v>0</v>
      </c>
      <c r="O2511" s="1">
        <v>45582.371736111112</v>
      </c>
      <c r="P2511" t="s">
        <v>122</v>
      </c>
    </row>
    <row r="2512" spans="1:16" x14ac:dyDescent="0.3">
      <c r="A2512" t="s">
        <v>25</v>
      </c>
      <c r="B2512" s="1">
        <v>45582.371736111112</v>
      </c>
      <c r="C2512" t="str">
        <f t="shared" si="475"/>
        <v>41</v>
      </c>
      <c r="D2512" t="s">
        <v>120</v>
      </c>
      <c r="E2512" t="s">
        <v>116</v>
      </c>
      <c r="F2512" t="s">
        <v>117</v>
      </c>
      <c r="H2512" t="s">
        <v>686</v>
      </c>
      <c r="I2512" t="str">
        <f>"101050002006311"</f>
        <v>101050002006311</v>
      </c>
      <c r="J2512" t="str">
        <f t="shared" si="476"/>
        <v>515060</v>
      </c>
      <c r="K2512" t="s">
        <v>95</v>
      </c>
      <c r="L2512">
        <v>49</v>
      </c>
      <c r="M2512">
        <v>49</v>
      </c>
      <c r="N2512">
        <v>0</v>
      </c>
      <c r="O2512" s="1">
        <v>45582.371736111112</v>
      </c>
      <c r="P2512" t="s">
        <v>122</v>
      </c>
    </row>
    <row r="2513" spans="1:16" x14ac:dyDescent="0.3">
      <c r="A2513" t="s">
        <v>25</v>
      </c>
      <c r="B2513" s="1">
        <v>45582.371724537035</v>
      </c>
      <c r="C2513" t="str">
        <f t="shared" si="475"/>
        <v>41</v>
      </c>
      <c r="D2513" t="s">
        <v>120</v>
      </c>
      <c r="E2513" t="s">
        <v>116</v>
      </c>
      <c r="F2513" t="s">
        <v>117</v>
      </c>
      <c r="H2513" t="s">
        <v>686</v>
      </c>
      <c r="I2513" t="str">
        <f>"101050002006310"</f>
        <v>101050002006310</v>
      </c>
      <c r="J2513" t="str">
        <f t="shared" si="476"/>
        <v>515060</v>
      </c>
      <c r="K2513" t="s">
        <v>95</v>
      </c>
      <c r="L2513">
        <v>49</v>
      </c>
      <c r="M2513">
        <v>49</v>
      </c>
      <c r="N2513">
        <v>0</v>
      </c>
      <c r="O2513" s="1">
        <v>45582.371724537035</v>
      </c>
      <c r="P2513" t="s">
        <v>122</v>
      </c>
    </row>
    <row r="2514" spans="1:16" x14ac:dyDescent="0.3">
      <c r="A2514" t="s">
        <v>25</v>
      </c>
      <c r="B2514" s="1">
        <v>45582.371724537035</v>
      </c>
      <c r="C2514" t="str">
        <f t="shared" si="475"/>
        <v>41</v>
      </c>
      <c r="D2514" t="s">
        <v>120</v>
      </c>
      <c r="E2514" t="s">
        <v>116</v>
      </c>
      <c r="F2514" t="s">
        <v>117</v>
      </c>
      <c r="H2514" t="s">
        <v>686</v>
      </c>
      <c r="I2514" t="str">
        <f>"101050002006155"</f>
        <v>101050002006155</v>
      </c>
      <c r="J2514" t="str">
        <f t="shared" si="476"/>
        <v>515060</v>
      </c>
      <c r="K2514" t="s">
        <v>95</v>
      </c>
      <c r="L2514">
        <v>49</v>
      </c>
      <c r="M2514">
        <v>49</v>
      </c>
      <c r="N2514">
        <v>0</v>
      </c>
      <c r="O2514" s="1">
        <v>45582.371724537035</v>
      </c>
      <c r="P2514" t="s">
        <v>122</v>
      </c>
    </row>
    <row r="2515" spans="1:16" x14ac:dyDescent="0.3">
      <c r="A2515" t="s">
        <v>25</v>
      </c>
      <c r="B2515" s="1">
        <v>45582.371724537035</v>
      </c>
      <c r="C2515" t="str">
        <f t="shared" si="475"/>
        <v>41</v>
      </c>
      <c r="D2515" t="s">
        <v>120</v>
      </c>
      <c r="E2515" t="s">
        <v>116</v>
      </c>
      <c r="F2515" t="s">
        <v>117</v>
      </c>
      <c r="H2515" t="s">
        <v>686</v>
      </c>
      <c r="I2515" t="str">
        <f>"101050002006154"</f>
        <v>101050002006154</v>
      </c>
      <c r="J2515" t="str">
        <f t="shared" si="476"/>
        <v>515060</v>
      </c>
      <c r="K2515" t="s">
        <v>95</v>
      </c>
      <c r="L2515">
        <v>49</v>
      </c>
      <c r="M2515">
        <v>49</v>
      </c>
      <c r="N2515">
        <v>0</v>
      </c>
      <c r="O2515" s="1">
        <v>45582.371724537035</v>
      </c>
      <c r="P2515" t="s">
        <v>122</v>
      </c>
    </row>
    <row r="2516" spans="1:16" x14ac:dyDescent="0.3">
      <c r="A2516" t="s">
        <v>25</v>
      </c>
      <c r="B2516" s="1">
        <v>45582.371458333335</v>
      </c>
      <c r="C2516" t="str">
        <f>"38"</f>
        <v>38</v>
      </c>
      <c r="D2516" t="s">
        <v>115</v>
      </c>
      <c r="E2516" t="s">
        <v>116</v>
      </c>
      <c r="F2516" t="s">
        <v>117</v>
      </c>
      <c r="H2516" t="s">
        <v>687</v>
      </c>
      <c r="L2516">
        <v>0</v>
      </c>
      <c r="M2516">
        <v>0</v>
      </c>
      <c r="N2516">
        <v>0</v>
      </c>
      <c r="O2516" s="1">
        <v>45582.371458333335</v>
      </c>
      <c r="P2516" t="s">
        <v>119</v>
      </c>
    </row>
    <row r="2517" spans="1:16" x14ac:dyDescent="0.3">
      <c r="A2517" t="s">
        <v>25</v>
      </c>
      <c r="B2517" s="1">
        <v>45582.371458333335</v>
      </c>
      <c r="C2517" t="str">
        <f t="shared" ref="C2517:C2523" si="477">"41"</f>
        <v>41</v>
      </c>
      <c r="D2517" t="s">
        <v>120</v>
      </c>
      <c r="E2517" t="s">
        <v>116</v>
      </c>
      <c r="F2517" t="s">
        <v>117</v>
      </c>
      <c r="H2517" t="s">
        <v>687</v>
      </c>
      <c r="I2517" t="str">
        <f>"101050002024814"</f>
        <v>101050002024814</v>
      </c>
      <c r="J2517" t="str">
        <f t="shared" ref="J2517:J2523" si="478">"514475"</f>
        <v>514475</v>
      </c>
      <c r="K2517" t="s">
        <v>23</v>
      </c>
      <c r="L2517">
        <v>49</v>
      </c>
      <c r="M2517">
        <v>49</v>
      </c>
      <c r="N2517">
        <v>0</v>
      </c>
      <c r="O2517" s="1">
        <v>45582.371458333335</v>
      </c>
      <c r="P2517" t="s">
        <v>119</v>
      </c>
    </row>
    <row r="2518" spans="1:16" x14ac:dyDescent="0.3">
      <c r="A2518" t="s">
        <v>25</v>
      </c>
      <c r="B2518" s="1">
        <v>45582.371458333335</v>
      </c>
      <c r="C2518" t="str">
        <f t="shared" si="477"/>
        <v>41</v>
      </c>
      <c r="D2518" t="s">
        <v>120</v>
      </c>
      <c r="E2518" t="s">
        <v>116</v>
      </c>
      <c r="F2518" t="s">
        <v>117</v>
      </c>
      <c r="H2518" t="s">
        <v>687</v>
      </c>
      <c r="I2518" t="str">
        <f>"101050002024813"</f>
        <v>101050002024813</v>
      </c>
      <c r="J2518" t="str">
        <f t="shared" si="478"/>
        <v>514475</v>
      </c>
      <c r="K2518" t="s">
        <v>23</v>
      </c>
      <c r="L2518">
        <v>49</v>
      </c>
      <c r="M2518">
        <v>49</v>
      </c>
      <c r="N2518">
        <v>0</v>
      </c>
      <c r="O2518" s="1">
        <v>45582.371458333335</v>
      </c>
      <c r="P2518" t="s">
        <v>119</v>
      </c>
    </row>
    <row r="2519" spans="1:16" x14ac:dyDescent="0.3">
      <c r="A2519" t="s">
        <v>25</v>
      </c>
      <c r="B2519" s="1">
        <v>45582.371458333335</v>
      </c>
      <c r="C2519" t="str">
        <f t="shared" si="477"/>
        <v>41</v>
      </c>
      <c r="D2519" t="s">
        <v>120</v>
      </c>
      <c r="E2519" t="s">
        <v>116</v>
      </c>
      <c r="F2519" t="s">
        <v>117</v>
      </c>
      <c r="H2519" t="s">
        <v>687</v>
      </c>
      <c r="I2519" t="str">
        <f>"101050002024812"</f>
        <v>101050002024812</v>
      </c>
      <c r="J2519" t="str">
        <f t="shared" si="478"/>
        <v>514475</v>
      </c>
      <c r="K2519" t="s">
        <v>23</v>
      </c>
      <c r="L2519">
        <v>49</v>
      </c>
      <c r="M2519">
        <v>49</v>
      </c>
      <c r="N2519">
        <v>0</v>
      </c>
      <c r="O2519" s="1">
        <v>45582.371458333335</v>
      </c>
      <c r="P2519" t="s">
        <v>119</v>
      </c>
    </row>
    <row r="2520" spans="1:16" x14ac:dyDescent="0.3">
      <c r="A2520" t="s">
        <v>25</v>
      </c>
      <c r="B2520" s="1">
        <v>45582.371458333335</v>
      </c>
      <c r="C2520" t="str">
        <f t="shared" si="477"/>
        <v>41</v>
      </c>
      <c r="D2520" t="s">
        <v>120</v>
      </c>
      <c r="E2520" t="s">
        <v>116</v>
      </c>
      <c r="F2520" t="s">
        <v>117</v>
      </c>
      <c r="H2520" t="s">
        <v>687</v>
      </c>
      <c r="I2520" t="str">
        <f>"101050002003174"</f>
        <v>101050002003174</v>
      </c>
      <c r="J2520" t="str">
        <f t="shared" si="478"/>
        <v>514475</v>
      </c>
      <c r="K2520" t="s">
        <v>23</v>
      </c>
      <c r="L2520">
        <v>49</v>
      </c>
      <c r="M2520">
        <v>49</v>
      </c>
      <c r="N2520">
        <v>0</v>
      </c>
      <c r="O2520" s="1">
        <v>45582.371458333335</v>
      </c>
      <c r="P2520" t="s">
        <v>119</v>
      </c>
    </row>
    <row r="2521" spans="1:16" x14ac:dyDescent="0.3">
      <c r="A2521" t="s">
        <v>25</v>
      </c>
      <c r="B2521" s="1">
        <v>45582.371458333335</v>
      </c>
      <c r="C2521" t="str">
        <f t="shared" si="477"/>
        <v>41</v>
      </c>
      <c r="D2521" t="s">
        <v>120</v>
      </c>
      <c r="E2521" t="s">
        <v>116</v>
      </c>
      <c r="F2521" t="s">
        <v>117</v>
      </c>
      <c r="H2521" t="s">
        <v>687</v>
      </c>
      <c r="I2521" t="str">
        <f>"101050002003172"</f>
        <v>101050002003172</v>
      </c>
      <c r="J2521" t="str">
        <f t="shared" si="478"/>
        <v>514475</v>
      </c>
      <c r="K2521" t="s">
        <v>23</v>
      </c>
      <c r="L2521">
        <v>49</v>
      </c>
      <c r="M2521">
        <v>49</v>
      </c>
      <c r="N2521">
        <v>0</v>
      </c>
      <c r="O2521" s="1">
        <v>45582.371458333335</v>
      </c>
      <c r="P2521" t="s">
        <v>119</v>
      </c>
    </row>
    <row r="2522" spans="1:16" x14ac:dyDescent="0.3">
      <c r="A2522" t="s">
        <v>25</v>
      </c>
      <c r="B2522" s="1">
        <v>45582.371458333335</v>
      </c>
      <c r="C2522" t="str">
        <f t="shared" si="477"/>
        <v>41</v>
      </c>
      <c r="D2522" t="s">
        <v>120</v>
      </c>
      <c r="E2522" t="s">
        <v>116</v>
      </c>
      <c r="F2522" t="s">
        <v>117</v>
      </c>
      <c r="H2522" t="s">
        <v>687</v>
      </c>
      <c r="I2522" t="str">
        <f>"101050001975196"</f>
        <v>101050001975196</v>
      </c>
      <c r="J2522" t="str">
        <f t="shared" si="478"/>
        <v>514475</v>
      </c>
      <c r="K2522" t="s">
        <v>23</v>
      </c>
      <c r="L2522">
        <v>49</v>
      </c>
      <c r="M2522">
        <v>49</v>
      </c>
      <c r="N2522">
        <v>0</v>
      </c>
      <c r="O2522" s="1">
        <v>45582.371458333335</v>
      </c>
      <c r="P2522" t="s">
        <v>119</v>
      </c>
    </row>
    <row r="2523" spans="1:16" x14ac:dyDescent="0.3">
      <c r="A2523" t="s">
        <v>25</v>
      </c>
      <c r="B2523" s="1">
        <v>45582.371446759258</v>
      </c>
      <c r="C2523" t="str">
        <f t="shared" si="477"/>
        <v>41</v>
      </c>
      <c r="D2523" t="s">
        <v>120</v>
      </c>
      <c r="E2523" t="s">
        <v>116</v>
      </c>
      <c r="F2523" t="s">
        <v>117</v>
      </c>
      <c r="H2523" t="s">
        <v>687</v>
      </c>
      <c r="I2523" t="str">
        <f>"101050001975195"</f>
        <v>101050001975195</v>
      </c>
      <c r="J2523" t="str">
        <f t="shared" si="478"/>
        <v>514475</v>
      </c>
      <c r="K2523" t="s">
        <v>23</v>
      </c>
      <c r="L2523">
        <v>49</v>
      </c>
      <c r="M2523">
        <v>49</v>
      </c>
      <c r="N2523">
        <v>0</v>
      </c>
      <c r="O2523" s="1">
        <v>45582.371446759258</v>
      </c>
      <c r="P2523" t="s">
        <v>119</v>
      </c>
    </row>
    <row r="2524" spans="1:16" x14ac:dyDescent="0.3">
      <c r="A2524" t="s">
        <v>25</v>
      </c>
      <c r="B2524" s="1">
        <v>45582.371018518519</v>
      </c>
      <c r="C2524" t="str">
        <f>"38"</f>
        <v>38</v>
      </c>
      <c r="D2524" t="s">
        <v>115</v>
      </c>
      <c r="E2524" t="s">
        <v>116</v>
      </c>
      <c r="F2524" t="s">
        <v>117</v>
      </c>
      <c r="H2524" t="s">
        <v>688</v>
      </c>
      <c r="L2524">
        <v>0</v>
      </c>
      <c r="M2524">
        <v>0</v>
      </c>
      <c r="N2524">
        <v>0</v>
      </c>
      <c r="O2524" s="1">
        <v>45582.371018518519</v>
      </c>
      <c r="P2524" t="s">
        <v>122</v>
      </c>
    </row>
    <row r="2525" spans="1:16" x14ac:dyDescent="0.3">
      <c r="A2525" t="s">
        <v>25</v>
      </c>
      <c r="B2525" s="1">
        <v>45582.371018518519</v>
      </c>
      <c r="C2525" t="str">
        <f t="shared" ref="C2525:C2531" si="479">"41"</f>
        <v>41</v>
      </c>
      <c r="D2525" t="s">
        <v>120</v>
      </c>
      <c r="E2525" t="s">
        <v>116</v>
      </c>
      <c r="F2525" t="s">
        <v>117</v>
      </c>
      <c r="H2525" t="s">
        <v>688</v>
      </c>
      <c r="I2525" t="str">
        <f>"101050002015489"</f>
        <v>101050002015489</v>
      </c>
      <c r="J2525" t="str">
        <f t="shared" ref="J2525:J2531" si="480">"514483"</f>
        <v>514483</v>
      </c>
      <c r="K2525" t="s">
        <v>84</v>
      </c>
      <c r="L2525">
        <v>49</v>
      </c>
      <c r="M2525">
        <v>49</v>
      </c>
      <c r="N2525">
        <v>0</v>
      </c>
      <c r="O2525" s="1">
        <v>45582.371018518519</v>
      </c>
      <c r="P2525" t="s">
        <v>122</v>
      </c>
    </row>
    <row r="2526" spans="1:16" x14ac:dyDescent="0.3">
      <c r="A2526" t="s">
        <v>25</v>
      </c>
      <c r="B2526" s="1">
        <v>45582.371018518519</v>
      </c>
      <c r="C2526" t="str">
        <f t="shared" si="479"/>
        <v>41</v>
      </c>
      <c r="D2526" t="s">
        <v>120</v>
      </c>
      <c r="E2526" t="s">
        <v>116</v>
      </c>
      <c r="F2526" t="s">
        <v>117</v>
      </c>
      <c r="H2526" t="s">
        <v>688</v>
      </c>
      <c r="I2526" t="str">
        <f>"101050002003578"</f>
        <v>101050002003578</v>
      </c>
      <c r="J2526" t="str">
        <f t="shared" si="480"/>
        <v>514483</v>
      </c>
      <c r="K2526" t="s">
        <v>84</v>
      </c>
      <c r="L2526">
        <v>49</v>
      </c>
      <c r="M2526">
        <v>49</v>
      </c>
      <c r="N2526">
        <v>0</v>
      </c>
      <c r="O2526" s="1">
        <v>45582.371018518519</v>
      </c>
      <c r="P2526" t="s">
        <v>122</v>
      </c>
    </row>
    <row r="2527" spans="1:16" x14ac:dyDescent="0.3">
      <c r="A2527" t="s">
        <v>25</v>
      </c>
      <c r="B2527" s="1">
        <v>45582.371006944442</v>
      </c>
      <c r="C2527" t="str">
        <f t="shared" si="479"/>
        <v>41</v>
      </c>
      <c r="D2527" t="s">
        <v>120</v>
      </c>
      <c r="E2527" t="s">
        <v>116</v>
      </c>
      <c r="F2527" t="s">
        <v>117</v>
      </c>
      <c r="H2527" t="s">
        <v>688</v>
      </c>
      <c r="I2527" t="str">
        <f>"101050002003570"</f>
        <v>101050002003570</v>
      </c>
      <c r="J2527" t="str">
        <f t="shared" si="480"/>
        <v>514483</v>
      </c>
      <c r="K2527" t="s">
        <v>84</v>
      </c>
      <c r="L2527">
        <v>49</v>
      </c>
      <c r="M2527">
        <v>49</v>
      </c>
      <c r="N2527">
        <v>0</v>
      </c>
      <c r="O2527" s="1">
        <v>45582.371006944442</v>
      </c>
      <c r="P2527" t="s">
        <v>122</v>
      </c>
    </row>
    <row r="2528" spans="1:16" x14ac:dyDescent="0.3">
      <c r="A2528" t="s">
        <v>25</v>
      </c>
      <c r="B2528" s="1">
        <v>45582.371006944442</v>
      </c>
      <c r="C2528" t="str">
        <f t="shared" si="479"/>
        <v>41</v>
      </c>
      <c r="D2528" t="s">
        <v>120</v>
      </c>
      <c r="E2528" t="s">
        <v>116</v>
      </c>
      <c r="F2528" t="s">
        <v>117</v>
      </c>
      <c r="H2528" t="s">
        <v>688</v>
      </c>
      <c r="I2528" t="str">
        <f>"101050002003380"</f>
        <v>101050002003380</v>
      </c>
      <c r="J2528" t="str">
        <f t="shared" si="480"/>
        <v>514483</v>
      </c>
      <c r="K2528" t="s">
        <v>84</v>
      </c>
      <c r="L2528">
        <v>49</v>
      </c>
      <c r="M2528">
        <v>49</v>
      </c>
      <c r="N2528">
        <v>0</v>
      </c>
      <c r="O2528" s="1">
        <v>45582.371006944442</v>
      </c>
      <c r="P2528" t="s">
        <v>122</v>
      </c>
    </row>
    <row r="2529" spans="1:16" x14ac:dyDescent="0.3">
      <c r="A2529" t="s">
        <v>25</v>
      </c>
      <c r="B2529" s="1">
        <v>45582.371006944442</v>
      </c>
      <c r="C2529" t="str">
        <f t="shared" si="479"/>
        <v>41</v>
      </c>
      <c r="D2529" t="s">
        <v>120</v>
      </c>
      <c r="E2529" t="s">
        <v>116</v>
      </c>
      <c r="F2529" t="s">
        <v>117</v>
      </c>
      <c r="H2529" t="s">
        <v>688</v>
      </c>
      <c r="I2529" t="str">
        <f>"101050002003379"</f>
        <v>101050002003379</v>
      </c>
      <c r="J2529" t="str">
        <f t="shared" si="480"/>
        <v>514483</v>
      </c>
      <c r="K2529" t="s">
        <v>84</v>
      </c>
      <c r="L2529">
        <v>49</v>
      </c>
      <c r="M2529">
        <v>49</v>
      </c>
      <c r="N2529">
        <v>0</v>
      </c>
      <c r="O2529" s="1">
        <v>45582.371006944442</v>
      </c>
      <c r="P2529" t="s">
        <v>122</v>
      </c>
    </row>
    <row r="2530" spans="1:16" x14ac:dyDescent="0.3">
      <c r="A2530" t="s">
        <v>25</v>
      </c>
      <c r="B2530" s="1">
        <v>45582.371006944442</v>
      </c>
      <c r="C2530" t="str">
        <f t="shared" si="479"/>
        <v>41</v>
      </c>
      <c r="D2530" t="s">
        <v>120</v>
      </c>
      <c r="E2530" t="s">
        <v>116</v>
      </c>
      <c r="F2530" t="s">
        <v>117</v>
      </c>
      <c r="H2530" t="s">
        <v>688</v>
      </c>
      <c r="I2530" t="str">
        <f>"101050002003191"</f>
        <v>101050002003191</v>
      </c>
      <c r="J2530" t="str">
        <f t="shared" si="480"/>
        <v>514483</v>
      </c>
      <c r="K2530" t="s">
        <v>84</v>
      </c>
      <c r="L2530">
        <v>49</v>
      </c>
      <c r="M2530">
        <v>49</v>
      </c>
      <c r="N2530">
        <v>0</v>
      </c>
      <c r="O2530" s="1">
        <v>45582.371006944442</v>
      </c>
      <c r="P2530" t="s">
        <v>122</v>
      </c>
    </row>
    <row r="2531" spans="1:16" x14ac:dyDescent="0.3">
      <c r="A2531" t="s">
        <v>25</v>
      </c>
      <c r="B2531" s="1">
        <v>45582.371006944442</v>
      </c>
      <c r="C2531" t="str">
        <f t="shared" si="479"/>
        <v>41</v>
      </c>
      <c r="D2531" t="s">
        <v>120</v>
      </c>
      <c r="E2531" t="s">
        <v>116</v>
      </c>
      <c r="F2531" t="s">
        <v>117</v>
      </c>
      <c r="H2531" t="s">
        <v>688</v>
      </c>
      <c r="I2531" t="str">
        <f>"101050002003072"</f>
        <v>101050002003072</v>
      </c>
      <c r="J2531" t="str">
        <f t="shared" si="480"/>
        <v>514483</v>
      </c>
      <c r="K2531" t="s">
        <v>84</v>
      </c>
      <c r="L2531">
        <v>49</v>
      </c>
      <c r="M2531">
        <v>49</v>
      </c>
      <c r="N2531">
        <v>0</v>
      </c>
      <c r="O2531" s="1">
        <v>45582.371006944442</v>
      </c>
      <c r="P2531" t="s">
        <v>122</v>
      </c>
    </row>
    <row r="2532" spans="1:16" x14ac:dyDescent="0.3">
      <c r="A2532" t="s">
        <v>25</v>
      </c>
      <c r="B2532" s="1">
        <v>45582.37122685185</v>
      </c>
      <c r="C2532" t="str">
        <f>"38"</f>
        <v>38</v>
      </c>
      <c r="D2532" t="s">
        <v>115</v>
      </c>
      <c r="E2532" t="s">
        <v>116</v>
      </c>
      <c r="F2532" t="s">
        <v>117</v>
      </c>
      <c r="H2532" t="s">
        <v>689</v>
      </c>
      <c r="L2532">
        <v>0</v>
      </c>
      <c r="M2532">
        <v>0</v>
      </c>
      <c r="N2532">
        <v>0</v>
      </c>
      <c r="O2532" s="1">
        <v>45582.37122685185</v>
      </c>
      <c r="P2532" t="s">
        <v>125</v>
      </c>
    </row>
    <row r="2533" spans="1:16" x14ac:dyDescent="0.3">
      <c r="A2533" t="s">
        <v>25</v>
      </c>
      <c r="B2533" s="1">
        <v>45582.37122685185</v>
      </c>
      <c r="C2533" t="str">
        <f t="shared" ref="C2533:C2539" si="481">"41"</f>
        <v>41</v>
      </c>
      <c r="D2533" t="s">
        <v>120</v>
      </c>
      <c r="E2533" t="s">
        <v>116</v>
      </c>
      <c r="F2533" t="s">
        <v>117</v>
      </c>
      <c r="H2533" t="s">
        <v>689</v>
      </c>
      <c r="I2533" t="str">
        <f>"101050002008138"</f>
        <v>101050002008138</v>
      </c>
      <c r="J2533" t="str">
        <f t="shared" ref="J2533:J2539" si="482">"31090"</f>
        <v>31090</v>
      </c>
      <c r="K2533" t="s">
        <v>76</v>
      </c>
      <c r="L2533">
        <v>49</v>
      </c>
      <c r="M2533">
        <v>49</v>
      </c>
      <c r="N2533">
        <v>0</v>
      </c>
      <c r="O2533" s="1">
        <v>45582.37122685185</v>
      </c>
      <c r="P2533" t="s">
        <v>125</v>
      </c>
    </row>
    <row r="2534" spans="1:16" x14ac:dyDescent="0.3">
      <c r="A2534" t="s">
        <v>25</v>
      </c>
      <c r="B2534" s="1">
        <v>45582.37122685185</v>
      </c>
      <c r="C2534" t="str">
        <f t="shared" si="481"/>
        <v>41</v>
      </c>
      <c r="D2534" t="s">
        <v>120</v>
      </c>
      <c r="E2534" t="s">
        <v>116</v>
      </c>
      <c r="F2534" t="s">
        <v>117</v>
      </c>
      <c r="H2534" t="s">
        <v>689</v>
      </c>
      <c r="I2534" t="str">
        <f>"101050002007803"</f>
        <v>101050002007803</v>
      </c>
      <c r="J2534" t="str">
        <f t="shared" si="482"/>
        <v>31090</v>
      </c>
      <c r="K2534" t="s">
        <v>76</v>
      </c>
      <c r="L2534">
        <v>49</v>
      </c>
      <c r="M2534">
        <v>49</v>
      </c>
      <c r="N2534">
        <v>0</v>
      </c>
      <c r="O2534" s="1">
        <v>45582.37122685185</v>
      </c>
      <c r="P2534" t="s">
        <v>125</v>
      </c>
    </row>
    <row r="2535" spans="1:16" x14ac:dyDescent="0.3">
      <c r="A2535" t="s">
        <v>25</v>
      </c>
      <c r="B2535" s="1">
        <v>45582.37122685185</v>
      </c>
      <c r="C2535" t="str">
        <f t="shared" si="481"/>
        <v>41</v>
      </c>
      <c r="D2535" t="s">
        <v>120</v>
      </c>
      <c r="E2535" t="s">
        <v>116</v>
      </c>
      <c r="F2535" t="s">
        <v>117</v>
      </c>
      <c r="H2535" t="s">
        <v>689</v>
      </c>
      <c r="I2535" t="str">
        <f>"101050002008045"</f>
        <v>101050002008045</v>
      </c>
      <c r="J2535" t="str">
        <f t="shared" si="482"/>
        <v>31090</v>
      </c>
      <c r="K2535" t="s">
        <v>76</v>
      </c>
      <c r="L2535">
        <v>49</v>
      </c>
      <c r="M2535">
        <v>49</v>
      </c>
      <c r="N2535">
        <v>0</v>
      </c>
      <c r="O2535" s="1">
        <v>45582.37122685185</v>
      </c>
      <c r="P2535" t="s">
        <v>125</v>
      </c>
    </row>
    <row r="2536" spans="1:16" x14ac:dyDescent="0.3">
      <c r="A2536" t="s">
        <v>25</v>
      </c>
      <c r="B2536" s="1">
        <v>45582.37122685185</v>
      </c>
      <c r="C2536" t="str">
        <f t="shared" si="481"/>
        <v>41</v>
      </c>
      <c r="D2536" t="s">
        <v>120</v>
      </c>
      <c r="E2536" t="s">
        <v>116</v>
      </c>
      <c r="F2536" t="s">
        <v>117</v>
      </c>
      <c r="H2536" t="s">
        <v>689</v>
      </c>
      <c r="I2536" t="str">
        <f>"101050002008044"</f>
        <v>101050002008044</v>
      </c>
      <c r="J2536" t="str">
        <f t="shared" si="482"/>
        <v>31090</v>
      </c>
      <c r="K2536" t="s">
        <v>76</v>
      </c>
      <c r="L2536">
        <v>49</v>
      </c>
      <c r="M2536">
        <v>49</v>
      </c>
      <c r="N2536">
        <v>0</v>
      </c>
      <c r="O2536" s="1">
        <v>45582.37122685185</v>
      </c>
      <c r="P2536" t="s">
        <v>125</v>
      </c>
    </row>
    <row r="2537" spans="1:16" x14ac:dyDescent="0.3">
      <c r="A2537" t="s">
        <v>25</v>
      </c>
      <c r="B2537" s="1">
        <v>45582.37122685185</v>
      </c>
      <c r="C2537" t="str">
        <f t="shared" si="481"/>
        <v>41</v>
      </c>
      <c r="D2537" t="s">
        <v>120</v>
      </c>
      <c r="E2537" t="s">
        <v>116</v>
      </c>
      <c r="F2537" t="s">
        <v>117</v>
      </c>
      <c r="H2537" t="s">
        <v>689</v>
      </c>
      <c r="I2537" t="str">
        <f>"101050002008139"</f>
        <v>101050002008139</v>
      </c>
      <c r="J2537" t="str">
        <f t="shared" si="482"/>
        <v>31090</v>
      </c>
      <c r="K2537" t="s">
        <v>76</v>
      </c>
      <c r="L2537">
        <v>49</v>
      </c>
      <c r="M2537">
        <v>49</v>
      </c>
      <c r="N2537">
        <v>0</v>
      </c>
      <c r="O2537" s="1">
        <v>45582.37122685185</v>
      </c>
      <c r="P2537" t="s">
        <v>125</v>
      </c>
    </row>
    <row r="2538" spans="1:16" x14ac:dyDescent="0.3">
      <c r="A2538" t="s">
        <v>25</v>
      </c>
      <c r="B2538" s="1">
        <v>45582.37122685185</v>
      </c>
      <c r="C2538" t="str">
        <f t="shared" si="481"/>
        <v>41</v>
      </c>
      <c r="D2538" t="s">
        <v>120</v>
      </c>
      <c r="E2538" t="s">
        <v>116</v>
      </c>
      <c r="F2538" t="s">
        <v>117</v>
      </c>
      <c r="H2538" t="s">
        <v>689</v>
      </c>
      <c r="I2538" t="str">
        <f>"101050002008657"</f>
        <v>101050002008657</v>
      </c>
      <c r="J2538" t="str">
        <f t="shared" si="482"/>
        <v>31090</v>
      </c>
      <c r="K2538" t="s">
        <v>76</v>
      </c>
      <c r="L2538">
        <v>49</v>
      </c>
      <c r="M2538">
        <v>49</v>
      </c>
      <c r="N2538">
        <v>0</v>
      </c>
      <c r="O2538" s="1">
        <v>45582.37122685185</v>
      </c>
      <c r="P2538" t="s">
        <v>125</v>
      </c>
    </row>
    <row r="2539" spans="1:16" x14ac:dyDescent="0.3">
      <c r="A2539" t="s">
        <v>25</v>
      </c>
      <c r="B2539" s="1">
        <v>45582.37122685185</v>
      </c>
      <c r="C2539" t="str">
        <f t="shared" si="481"/>
        <v>41</v>
      </c>
      <c r="D2539" t="s">
        <v>120</v>
      </c>
      <c r="E2539" t="s">
        <v>116</v>
      </c>
      <c r="F2539" t="s">
        <v>117</v>
      </c>
      <c r="H2539" t="s">
        <v>689</v>
      </c>
      <c r="I2539" t="str">
        <f>"101050002008656"</f>
        <v>101050002008656</v>
      </c>
      <c r="J2539" t="str">
        <f t="shared" si="482"/>
        <v>31090</v>
      </c>
      <c r="K2539" t="s">
        <v>76</v>
      </c>
      <c r="L2539">
        <v>49</v>
      </c>
      <c r="M2539">
        <v>49</v>
      </c>
      <c r="N2539">
        <v>0</v>
      </c>
      <c r="O2539" s="1">
        <v>45582.37122685185</v>
      </c>
      <c r="P2539" t="s">
        <v>125</v>
      </c>
    </row>
    <row r="2540" spans="1:16" x14ac:dyDescent="0.3">
      <c r="A2540" t="s">
        <v>25</v>
      </c>
      <c r="B2540" s="1">
        <v>45582.36996527778</v>
      </c>
      <c r="C2540" t="str">
        <f>"38"</f>
        <v>38</v>
      </c>
      <c r="D2540" t="s">
        <v>115</v>
      </c>
      <c r="E2540" t="s">
        <v>116</v>
      </c>
      <c r="F2540" t="s">
        <v>117</v>
      </c>
      <c r="H2540" t="s">
        <v>690</v>
      </c>
      <c r="L2540">
        <v>0</v>
      </c>
      <c r="M2540">
        <v>0</v>
      </c>
      <c r="N2540">
        <v>0</v>
      </c>
      <c r="O2540" s="1">
        <v>45582.36996527778</v>
      </c>
      <c r="P2540" t="s">
        <v>122</v>
      </c>
    </row>
    <row r="2541" spans="1:16" x14ac:dyDescent="0.3">
      <c r="A2541" t="s">
        <v>25</v>
      </c>
      <c r="B2541" s="1">
        <v>45582.36996527778</v>
      </c>
      <c r="C2541" t="str">
        <f t="shared" ref="C2541:C2547" si="483">"41"</f>
        <v>41</v>
      </c>
      <c r="D2541" t="s">
        <v>120</v>
      </c>
      <c r="E2541" t="s">
        <v>116</v>
      </c>
      <c r="F2541" t="s">
        <v>117</v>
      </c>
      <c r="H2541" t="s">
        <v>690</v>
      </c>
      <c r="I2541" t="str">
        <f>"101050002014359"</f>
        <v>101050002014359</v>
      </c>
      <c r="J2541" t="str">
        <f t="shared" ref="J2541:J2547" si="484">"123052"</f>
        <v>123052</v>
      </c>
      <c r="K2541" t="s">
        <v>28</v>
      </c>
      <c r="L2541">
        <v>49</v>
      </c>
      <c r="M2541">
        <v>49</v>
      </c>
      <c r="N2541">
        <v>0</v>
      </c>
      <c r="O2541" s="1">
        <v>45582.36996527778</v>
      </c>
      <c r="P2541" t="s">
        <v>122</v>
      </c>
    </row>
    <row r="2542" spans="1:16" x14ac:dyDescent="0.3">
      <c r="A2542" t="s">
        <v>25</v>
      </c>
      <c r="B2542" s="1">
        <v>45582.36996527778</v>
      </c>
      <c r="C2542" t="str">
        <f t="shared" si="483"/>
        <v>41</v>
      </c>
      <c r="D2542" t="s">
        <v>120</v>
      </c>
      <c r="E2542" t="s">
        <v>116</v>
      </c>
      <c r="F2542" t="s">
        <v>117</v>
      </c>
      <c r="H2542" t="s">
        <v>690</v>
      </c>
      <c r="I2542" t="str">
        <f>"101050002013857"</f>
        <v>101050002013857</v>
      </c>
      <c r="J2542" t="str">
        <f t="shared" si="484"/>
        <v>123052</v>
      </c>
      <c r="K2542" t="s">
        <v>28</v>
      </c>
      <c r="L2542">
        <v>49</v>
      </c>
      <c r="M2542">
        <v>49</v>
      </c>
      <c r="N2542">
        <v>0</v>
      </c>
      <c r="O2542" s="1">
        <v>45582.36996527778</v>
      </c>
      <c r="P2542" t="s">
        <v>122</v>
      </c>
    </row>
    <row r="2543" spans="1:16" x14ac:dyDescent="0.3">
      <c r="A2543" t="s">
        <v>25</v>
      </c>
      <c r="B2543" s="1">
        <v>45582.36996527778</v>
      </c>
      <c r="C2543" t="str">
        <f t="shared" si="483"/>
        <v>41</v>
      </c>
      <c r="D2543" t="s">
        <v>120</v>
      </c>
      <c r="E2543" t="s">
        <v>116</v>
      </c>
      <c r="F2543" t="s">
        <v>117</v>
      </c>
      <c r="H2543" t="s">
        <v>690</v>
      </c>
      <c r="I2543" t="str">
        <f>"101050002013486"</f>
        <v>101050002013486</v>
      </c>
      <c r="J2543" t="str">
        <f t="shared" si="484"/>
        <v>123052</v>
      </c>
      <c r="K2543" t="s">
        <v>28</v>
      </c>
      <c r="L2543">
        <v>49</v>
      </c>
      <c r="M2543">
        <v>49</v>
      </c>
      <c r="N2543">
        <v>0</v>
      </c>
      <c r="O2543" s="1">
        <v>45582.36996527778</v>
      </c>
      <c r="P2543" t="s">
        <v>122</v>
      </c>
    </row>
    <row r="2544" spans="1:16" x14ac:dyDescent="0.3">
      <c r="A2544" t="s">
        <v>25</v>
      </c>
      <c r="B2544" s="1">
        <v>45582.36996527778</v>
      </c>
      <c r="C2544" t="str">
        <f t="shared" si="483"/>
        <v>41</v>
      </c>
      <c r="D2544" t="s">
        <v>120</v>
      </c>
      <c r="E2544" t="s">
        <v>116</v>
      </c>
      <c r="F2544" t="s">
        <v>117</v>
      </c>
      <c r="H2544" t="s">
        <v>690</v>
      </c>
      <c r="I2544" t="str">
        <f>"101050002013418"</f>
        <v>101050002013418</v>
      </c>
      <c r="J2544" t="str">
        <f t="shared" si="484"/>
        <v>123052</v>
      </c>
      <c r="K2544" t="s">
        <v>28</v>
      </c>
      <c r="L2544">
        <v>49</v>
      </c>
      <c r="M2544">
        <v>49</v>
      </c>
      <c r="N2544">
        <v>0</v>
      </c>
      <c r="O2544" s="1">
        <v>45582.36996527778</v>
      </c>
      <c r="P2544" t="s">
        <v>122</v>
      </c>
    </row>
    <row r="2545" spans="1:16" x14ac:dyDescent="0.3">
      <c r="A2545" t="s">
        <v>25</v>
      </c>
      <c r="B2545" s="1">
        <v>45582.36996527778</v>
      </c>
      <c r="C2545" t="str">
        <f t="shared" si="483"/>
        <v>41</v>
      </c>
      <c r="D2545" t="s">
        <v>120</v>
      </c>
      <c r="E2545" t="s">
        <v>116</v>
      </c>
      <c r="F2545" t="s">
        <v>117</v>
      </c>
      <c r="H2545" t="s">
        <v>690</v>
      </c>
      <c r="I2545" t="str">
        <f>"101050002013414"</f>
        <v>101050002013414</v>
      </c>
      <c r="J2545" t="str">
        <f t="shared" si="484"/>
        <v>123052</v>
      </c>
      <c r="K2545" t="s">
        <v>28</v>
      </c>
      <c r="L2545">
        <v>49</v>
      </c>
      <c r="M2545">
        <v>49</v>
      </c>
      <c r="N2545">
        <v>0</v>
      </c>
      <c r="O2545" s="1">
        <v>45582.36996527778</v>
      </c>
      <c r="P2545" t="s">
        <v>122</v>
      </c>
    </row>
    <row r="2546" spans="1:16" x14ac:dyDescent="0.3">
      <c r="A2546" t="s">
        <v>25</v>
      </c>
      <c r="B2546" s="1">
        <v>45582.36996527778</v>
      </c>
      <c r="C2546" t="str">
        <f t="shared" si="483"/>
        <v>41</v>
      </c>
      <c r="D2546" t="s">
        <v>120</v>
      </c>
      <c r="E2546" t="s">
        <v>116</v>
      </c>
      <c r="F2546" t="s">
        <v>117</v>
      </c>
      <c r="H2546" t="s">
        <v>690</v>
      </c>
      <c r="I2546" t="str">
        <f>"101050001987971"</f>
        <v>101050001987971</v>
      </c>
      <c r="J2546" t="str">
        <f t="shared" si="484"/>
        <v>123052</v>
      </c>
      <c r="K2546" t="s">
        <v>28</v>
      </c>
      <c r="L2546">
        <v>49</v>
      </c>
      <c r="M2546">
        <v>49</v>
      </c>
      <c r="N2546">
        <v>0</v>
      </c>
      <c r="O2546" s="1">
        <v>45582.36996527778</v>
      </c>
      <c r="P2546" t="s">
        <v>122</v>
      </c>
    </row>
    <row r="2547" spans="1:16" x14ac:dyDescent="0.3">
      <c r="A2547" t="s">
        <v>25</v>
      </c>
      <c r="B2547" s="1">
        <v>45582.36996527778</v>
      </c>
      <c r="C2547" t="str">
        <f t="shared" si="483"/>
        <v>41</v>
      </c>
      <c r="D2547" t="s">
        <v>120</v>
      </c>
      <c r="E2547" t="s">
        <v>116</v>
      </c>
      <c r="F2547" t="s">
        <v>117</v>
      </c>
      <c r="H2547" t="s">
        <v>690</v>
      </c>
      <c r="I2547" t="str">
        <f>"101050001987970"</f>
        <v>101050001987970</v>
      </c>
      <c r="J2547" t="str">
        <f t="shared" si="484"/>
        <v>123052</v>
      </c>
      <c r="K2547" t="s">
        <v>28</v>
      </c>
      <c r="L2547">
        <v>49</v>
      </c>
      <c r="M2547">
        <v>49</v>
      </c>
      <c r="N2547">
        <v>0</v>
      </c>
      <c r="O2547" s="1">
        <v>45582.36996527778</v>
      </c>
      <c r="P2547" t="s">
        <v>122</v>
      </c>
    </row>
    <row r="2548" spans="1:16" x14ac:dyDescent="0.3">
      <c r="A2548" t="s">
        <v>25</v>
      </c>
      <c r="B2548" s="1">
        <v>45582.370011574072</v>
      </c>
      <c r="C2548" t="str">
        <f>"38"</f>
        <v>38</v>
      </c>
      <c r="D2548" t="s">
        <v>115</v>
      </c>
      <c r="E2548" t="s">
        <v>116</v>
      </c>
      <c r="F2548" t="s">
        <v>117</v>
      </c>
      <c r="H2548" t="s">
        <v>691</v>
      </c>
      <c r="L2548">
        <v>0</v>
      </c>
      <c r="M2548">
        <v>0</v>
      </c>
      <c r="N2548">
        <v>0</v>
      </c>
      <c r="O2548" s="1">
        <v>45582.370011574072</v>
      </c>
      <c r="P2548" t="s">
        <v>125</v>
      </c>
    </row>
    <row r="2549" spans="1:16" x14ac:dyDescent="0.3">
      <c r="A2549" t="s">
        <v>25</v>
      </c>
      <c r="B2549" s="1">
        <v>45582.370011574072</v>
      </c>
      <c r="C2549" t="str">
        <f t="shared" ref="C2549:C2555" si="485">"41"</f>
        <v>41</v>
      </c>
      <c r="D2549" t="s">
        <v>120</v>
      </c>
      <c r="E2549" t="s">
        <v>116</v>
      </c>
      <c r="F2549" t="s">
        <v>117</v>
      </c>
      <c r="H2549" t="s">
        <v>691</v>
      </c>
      <c r="I2549" t="str">
        <f>"101620000468189"</f>
        <v>101620000468189</v>
      </c>
      <c r="J2549" t="str">
        <f t="shared" ref="J2549:J2555" si="486">"514867"</f>
        <v>514867</v>
      </c>
      <c r="K2549" t="s">
        <v>16</v>
      </c>
      <c r="L2549">
        <v>49</v>
      </c>
      <c r="M2549">
        <v>49</v>
      </c>
      <c r="N2549">
        <v>0</v>
      </c>
      <c r="O2549" s="1">
        <v>45582.370011574072</v>
      </c>
      <c r="P2549" t="s">
        <v>125</v>
      </c>
    </row>
    <row r="2550" spans="1:16" x14ac:dyDescent="0.3">
      <c r="A2550" t="s">
        <v>25</v>
      </c>
      <c r="B2550" s="1">
        <v>45582.37</v>
      </c>
      <c r="C2550" t="str">
        <f t="shared" si="485"/>
        <v>41</v>
      </c>
      <c r="D2550" t="s">
        <v>120</v>
      </c>
      <c r="E2550" t="s">
        <v>116</v>
      </c>
      <c r="F2550" t="s">
        <v>117</v>
      </c>
      <c r="H2550" t="s">
        <v>691</v>
      </c>
      <c r="I2550" t="str">
        <f>"101620000468380"</f>
        <v>101620000468380</v>
      </c>
      <c r="J2550" t="str">
        <f t="shared" si="486"/>
        <v>514867</v>
      </c>
      <c r="K2550" t="s">
        <v>16</v>
      </c>
      <c r="L2550">
        <v>49</v>
      </c>
      <c r="M2550">
        <v>49</v>
      </c>
      <c r="N2550">
        <v>0</v>
      </c>
      <c r="O2550" s="1">
        <v>45582.37</v>
      </c>
      <c r="P2550" t="s">
        <v>125</v>
      </c>
    </row>
    <row r="2551" spans="1:16" x14ac:dyDescent="0.3">
      <c r="A2551" t="s">
        <v>25</v>
      </c>
      <c r="B2551" s="1">
        <v>45582.37</v>
      </c>
      <c r="C2551" t="str">
        <f t="shared" si="485"/>
        <v>41</v>
      </c>
      <c r="D2551" t="s">
        <v>120</v>
      </c>
      <c r="E2551" t="s">
        <v>116</v>
      </c>
      <c r="F2551" t="s">
        <v>117</v>
      </c>
      <c r="H2551" t="s">
        <v>691</v>
      </c>
      <c r="I2551" t="str">
        <f>"101620000468191"</f>
        <v>101620000468191</v>
      </c>
      <c r="J2551" t="str">
        <f t="shared" si="486"/>
        <v>514867</v>
      </c>
      <c r="K2551" t="s">
        <v>16</v>
      </c>
      <c r="L2551">
        <v>49</v>
      </c>
      <c r="M2551">
        <v>49</v>
      </c>
      <c r="N2551">
        <v>0</v>
      </c>
      <c r="O2551" s="1">
        <v>45582.37</v>
      </c>
      <c r="P2551" t="s">
        <v>125</v>
      </c>
    </row>
    <row r="2552" spans="1:16" x14ac:dyDescent="0.3">
      <c r="A2552" t="s">
        <v>25</v>
      </c>
      <c r="B2552" s="1">
        <v>45582.37</v>
      </c>
      <c r="C2552" t="str">
        <f t="shared" si="485"/>
        <v>41</v>
      </c>
      <c r="D2552" t="s">
        <v>120</v>
      </c>
      <c r="E2552" t="s">
        <v>116</v>
      </c>
      <c r="F2552" t="s">
        <v>117</v>
      </c>
      <c r="H2552" t="s">
        <v>691</v>
      </c>
      <c r="I2552" t="str">
        <f>"101620000468176"</f>
        <v>101620000468176</v>
      </c>
      <c r="J2552" t="str">
        <f t="shared" si="486"/>
        <v>514867</v>
      </c>
      <c r="K2552" t="s">
        <v>16</v>
      </c>
      <c r="L2552">
        <v>49</v>
      </c>
      <c r="M2552">
        <v>49</v>
      </c>
      <c r="N2552">
        <v>0</v>
      </c>
      <c r="O2552" s="1">
        <v>45582.37</v>
      </c>
      <c r="P2552" t="s">
        <v>125</v>
      </c>
    </row>
    <row r="2553" spans="1:16" x14ac:dyDescent="0.3">
      <c r="A2553" t="s">
        <v>25</v>
      </c>
      <c r="B2553" s="1">
        <v>45582.37</v>
      </c>
      <c r="C2553" t="str">
        <f t="shared" si="485"/>
        <v>41</v>
      </c>
      <c r="D2553" t="s">
        <v>120</v>
      </c>
      <c r="E2553" t="s">
        <v>116</v>
      </c>
      <c r="F2553" t="s">
        <v>117</v>
      </c>
      <c r="H2553" t="s">
        <v>691</v>
      </c>
      <c r="I2553" t="str">
        <f>"101620000468377"</f>
        <v>101620000468377</v>
      </c>
      <c r="J2553" t="str">
        <f t="shared" si="486"/>
        <v>514867</v>
      </c>
      <c r="K2553" t="s">
        <v>16</v>
      </c>
      <c r="L2553">
        <v>49</v>
      </c>
      <c r="M2553">
        <v>49</v>
      </c>
      <c r="N2553">
        <v>0</v>
      </c>
      <c r="O2553" s="1">
        <v>45582.37</v>
      </c>
      <c r="P2553" t="s">
        <v>125</v>
      </c>
    </row>
    <row r="2554" spans="1:16" x14ac:dyDescent="0.3">
      <c r="A2554" t="s">
        <v>25</v>
      </c>
      <c r="B2554" s="1">
        <v>45582.37</v>
      </c>
      <c r="C2554" t="str">
        <f t="shared" si="485"/>
        <v>41</v>
      </c>
      <c r="D2554" t="s">
        <v>120</v>
      </c>
      <c r="E2554" t="s">
        <v>116</v>
      </c>
      <c r="F2554" t="s">
        <v>117</v>
      </c>
      <c r="H2554" t="s">
        <v>691</v>
      </c>
      <c r="I2554" t="str">
        <f>"101620000468216"</f>
        <v>101620000468216</v>
      </c>
      <c r="J2554" t="str">
        <f t="shared" si="486"/>
        <v>514867</v>
      </c>
      <c r="K2554" t="s">
        <v>16</v>
      </c>
      <c r="L2554">
        <v>49</v>
      </c>
      <c r="M2554">
        <v>49</v>
      </c>
      <c r="N2554">
        <v>0</v>
      </c>
      <c r="O2554" s="1">
        <v>45582.37</v>
      </c>
      <c r="P2554" t="s">
        <v>125</v>
      </c>
    </row>
    <row r="2555" spans="1:16" x14ac:dyDescent="0.3">
      <c r="A2555" t="s">
        <v>25</v>
      </c>
      <c r="B2555" s="1">
        <v>45582.37</v>
      </c>
      <c r="C2555" t="str">
        <f t="shared" si="485"/>
        <v>41</v>
      </c>
      <c r="D2555" t="s">
        <v>120</v>
      </c>
      <c r="E2555" t="s">
        <v>116</v>
      </c>
      <c r="F2555" t="s">
        <v>117</v>
      </c>
      <c r="H2555" t="s">
        <v>691</v>
      </c>
      <c r="I2555" t="str">
        <f>"101050002016482"</f>
        <v>101050002016482</v>
      </c>
      <c r="J2555" t="str">
        <f t="shared" si="486"/>
        <v>514867</v>
      </c>
      <c r="K2555" t="s">
        <v>16</v>
      </c>
      <c r="L2555">
        <v>49</v>
      </c>
      <c r="M2555">
        <v>49</v>
      </c>
      <c r="N2555">
        <v>0</v>
      </c>
      <c r="O2555" s="1">
        <v>45582.37</v>
      </c>
      <c r="P2555" t="s">
        <v>125</v>
      </c>
    </row>
    <row r="2556" spans="1:16" x14ac:dyDescent="0.3">
      <c r="A2556" t="s">
        <v>25</v>
      </c>
      <c r="B2556" s="1">
        <v>45582.366643518515</v>
      </c>
      <c r="C2556" t="str">
        <f>"38"</f>
        <v>38</v>
      </c>
      <c r="D2556" t="s">
        <v>115</v>
      </c>
      <c r="E2556" t="s">
        <v>116</v>
      </c>
      <c r="F2556" t="s">
        <v>117</v>
      </c>
      <c r="H2556" t="s">
        <v>692</v>
      </c>
      <c r="L2556">
        <v>0</v>
      </c>
      <c r="M2556">
        <v>0</v>
      </c>
      <c r="N2556">
        <v>0</v>
      </c>
      <c r="O2556" s="1">
        <v>45582.366643518515</v>
      </c>
      <c r="P2556" t="s">
        <v>119</v>
      </c>
    </row>
    <row r="2557" spans="1:16" x14ac:dyDescent="0.3">
      <c r="A2557" t="s">
        <v>25</v>
      </c>
      <c r="B2557" s="1">
        <v>45582.366643518515</v>
      </c>
      <c r="C2557" t="str">
        <f t="shared" ref="C2557:C2562" si="487">"41"</f>
        <v>41</v>
      </c>
      <c r="D2557" t="s">
        <v>120</v>
      </c>
      <c r="E2557" t="s">
        <v>116</v>
      </c>
      <c r="F2557" t="s">
        <v>117</v>
      </c>
      <c r="H2557" t="s">
        <v>692</v>
      </c>
      <c r="I2557" t="str">
        <f>"101050002023502"</f>
        <v>101050002023502</v>
      </c>
      <c r="J2557" t="str">
        <f t="shared" ref="J2557:J2562" si="488">"126481"</f>
        <v>126481</v>
      </c>
      <c r="K2557" t="s">
        <v>47</v>
      </c>
      <c r="L2557">
        <v>49</v>
      </c>
      <c r="M2557">
        <v>49</v>
      </c>
      <c r="N2557">
        <v>0</v>
      </c>
      <c r="O2557" s="1">
        <v>45582.366643518515</v>
      </c>
      <c r="P2557" t="s">
        <v>119</v>
      </c>
    </row>
    <row r="2558" spans="1:16" x14ac:dyDescent="0.3">
      <c r="A2558" t="s">
        <v>25</v>
      </c>
      <c r="B2558" s="1">
        <v>45582.366643518515</v>
      </c>
      <c r="C2558" t="str">
        <f t="shared" si="487"/>
        <v>41</v>
      </c>
      <c r="D2558" t="s">
        <v>120</v>
      </c>
      <c r="E2558" t="s">
        <v>116</v>
      </c>
      <c r="F2558" t="s">
        <v>117</v>
      </c>
      <c r="H2558" t="s">
        <v>692</v>
      </c>
      <c r="I2558" t="str">
        <f>"101050002023588"</f>
        <v>101050002023588</v>
      </c>
      <c r="J2558" t="str">
        <f t="shared" si="488"/>
        <v>126481</v>
      </c>
      <c r="K2558" t="s">
        <v>47</v>
      </c>
      <c r="L2558">
        <v>49</v>
      </c>
      <c r="M2558">
        <v>49</v>
      </c>
      <c r="N2558">
        <v>0</v>
      </c>
      <c r="O2558" s="1">
        <v>45582.366643518515</v>
      </c>
      <c r="P2558" t="s">
        <v>119</v>
      </c>
    </row>
    <row r="2559" spans="1:16" x14ac:dyDescent="0.3">
      <c r="A2559" t="s">
        <v>25</v>
      </c>
      <c r="B2559" s="1">
        <v>45582.366631944446</v>
      </c>
      <c r="C2559" t="str">
        <f t="shared" si="487"/>
        <v>41</v>
      </c>
      <c r="D2559" t="s">
        <v>120</v>
      </c>
      <c r="E2559" t="s">
        <v>116</v>
      </c>
      <c r="F2559" t="s">
        <v>117</v>
      </c>
      <c r="H2559" t="s">
        <v>692</v>
      </c>
      <c r="I2559" t="str">
        <f>"101050002023429"</f>
        <v>101050002023429</v>
      </c>
      <c r="J2559" t="str">
        <f t="shared" si="488"/>
        <v>126481</v>
      </c>
      <c r="K2559" t="s">
        <v>47</v>
      </c>
      <c r="L2559">
        <v>49</v>
      </c>
      <c r="M2559">
        <v>49</v>
      </c>
      <c r="N2559">
        <v>0</v>
      </c>
      <c r="O2559" s="1">
        <v>45582.366631944446</v>
      </c>
      <c r="P2559" t="s">
        <v>119</v>
      </c>
    </row>
    <row r="2560" spans="1:16" x14ac:dyDescent="0.3">
      <c r="A2560" t="s">
        <v>25</v>
      </c>
      <c r="B2560" s="1">
        <v>45582.366631944446</v>
      </c>
      <c r="C2560" t="str">
        <f t="shared" si="487"/>
        <v>41</v>
      </c>
      <c r="D2560" t="s">
        <v>120</v>
      </c>
      <c r="E2560" t="s">
        <v>116</v>
      </c>
      <c r="F2560" t="s">
        <v>117</v>
      </c>
      <c r="H2560" t="s">
        <v>692</v>
      </c>
      <c r="I2560" t="str">
        <f>"101050002023428"</f>
        <v>101050002023428</v>
      </c>
      <c r="J2560" t="str">
        <f t="shared" si="488"/>
        <v>126481</v>
      </c>
      <c r="K2560" t="s">
        <v>47</v>
      </c>
      <c r="L2560">
        <v>49</v>
      </c>
      <c r="M2560">
        <v>49</v>
      </c>
      <c r="N2560">
        <v>0</v>
      </c>
      <c r="O2560" s="1">
        <v>45582.366631944446</v>
      </c>
      <c r="P2560" t="s">
        <v>119</v>
      </c>
    </row>
    <row r="2561" spans="1:16" x14ac:dyDescent="0.3">
      <c r="A2561" t="s">
        <v>25</v>
      </c>
      <c r="B2561" s="1">
        <v>45582.366631944446</v>
      </c>
      <c r="C2561" t="str">
        <f t="shared" si="487"/>
        <v>41</v>
      </c>
      <c r="D2561" t="s">
        <v>120</v>
      </c>
      <c r="E2561" t="s">
        <v>116</v>
      </c>
      <c r="F2561" t="s">
        <v>117</v>
      </c>
      <c r="H2561" t="s">
        <v>692</v>
      </c>
      <c r="I2561" t="str">
        <f>"101050002023427"</f>
        <v>101050002023427</v>
      </c>
      <c r="J2561" t="str">
        <f t="shared" si="488"/>
        <v>126481</v>
      </c>
      <c r="K2561" t="s">
        <v>47</v>
      </c>
      <c r="L2561">
        <v>49</v>
      </c>
      <c r="M2561">
        <v>49</v>
      </c>
      <c r="N2561">
        <v>0</v>
      </c>
      <c r="O2561" s="1">
        <v>45582.366631944446</v>
      </c>
      <c r="P2561" t="s">
        <v>119</v>
      </c>
    </row>
    <row r="2562" spans="1:16" x14ac:dyDescent="0.3">
      <c r="A2562" t="s">
        <v>25</v>
      </c>
      <c r="B2562" s="1">
        <v>45582.366631944446</v>
      </c>
      <c r="C2562" t="str">
        <f t="shared" si="487"/>
        <v>41</v>
      </c>
      <c r="D2562" t="s">
        <v>120</v>
      </c>
      <c r="E2562" t="s">
        <v>116</v>
      </c>
      <c r="F2562" t="s">
        <v>117</v>
      </c>
      <c r="H2562" t="s">
        <v>692</v>
      </c>
      <c r="I2562" t="str">
        <f>"101050002023497"</f>
        <v>101050002023497</v>
      </c>
      <c r="J2562" t="str">
        <f t="shared" si="488"/>
        <v>126481</v>
      </c>
      <c r="K2562" t="s">
        <v>47</v>
      </c>
      <c r="L2562">
        <v>49</v>
      </c>
      <c r="M2562">
        <v>49</v>
      </c>
      <c r="N2562">
        <v>0</v>
      </c>
      <c r="O2562" s="1">
        <v>45582.366631944446</v>
      </c>
      <c r="P2562" t="s">
        <v>119</v>
      </c>
    </row>
    <row r="2563" spans="1:16" x14ac:dyDescent="0.3">
      <c r="A2563" t="s">
        <v>25</v>
      </c>
      <c r="B2563" s="1">
        <v>45582.364918981482</v>
      </c>
      <c r="C2563" t="str">
        <f>"38"</f>
        <v>38</v>
      </c>
      <c r="D2563" t="s">
        <v>115</v>
      </c>
      <c r="E2563" t="s">
        <v>116</v>
      </c>
      <c r="F2563" t="s">
        <v>117</v>
      </c>
      <c r="H2563" t="s">
        <v>693</v>
      </c>
      <c r="L2563">
        <v>0</v>
      </c>
      <c r="M2563">
        <v>0</v>
      </c>
      <c r="N2563">
        <v>0</v>
      </c>
      <c r="O2563" s="1">
        <v>45582.364918981482</v>
      </c>
      <c r="P2563" t="s">
        <v>125</v>
      </c>
    </row>
    <row r="2564" spans="1:16" x14ac:dyDescent="0.3">
      <c r="A2564" t="s">
        <v>25</v>
      </c>
      <c r="B2564" s="1">
        <v>45582.364918981482</v>
      </c>
      <c r="C2564" t="str">
        <f t="shared" ref="C2564:C2570" si="489">"41"</f>
        <v>41</v>
      </c>
      <c r="D2564" t="s">
        <v>120</v>
      </c>
      <c r="E2564" t="s">
        <v>116</v>
      </c>
      <c r="F2564" t="s">
        <v>117</v>
      </c>
      <c r="H2564" t="s">
        <v>693</v>
      </c>
      <c r="I2564" t="str">
        <f>"101050002020349"</f>
        <v>101050002020349</v>
      </c>
      <c r="J2564" t="str">
        <f t="shared" ref="J2564:J2570" si="490">"127924"</f>
        <v>127924</v>
      </c>
      <c r="K2564" t="s">
        <v>3</v>
      </c>
      <c r="L2564">
        <v>49</v>
      </c>
      <c r="M2564">
        <v>49</v>
      </c>
      <c r="N2564">
        <v>0</v>
      </c>
      <c r="O2564" s="1">
        <v>45582.364918981482</v>
      </c>
      <c r="P2564" t="s">
        <v>125</v>
      </c>
    </row>
    <row r="2565" spans="1:16" x14ac:dyDescent="0.3">
      <c r="A2565" t="s">
        <v>25</v>
      </c>
      <c r="B2565" s="1">
        <v>45582.364907407406</v>
      </c>
      <c r="C2565" t="str">
        <f t="shared" si="489"/>
        <v>41</v>
      </c>
      <c r="D2565" t="s">
        <v>120</v>
      </c>
      <c r="E2565" t="s">
        <v>116</v>
      </c>
      <c r="F2565" t="s">
        <v>117</v>
      </c>
      <c r="H2565" t="s">
        <v>693</v>
      </c>
      <c r="I2565" t="str">
        <f>"101050002020072"</f>
        <v>101050002020072</v>
      </c>
      <c r="J2565" t="str">
        <f t="shared" si="490"/>
        <v>127924</v>
      </c>
      <c r="K2565" t="s">
        <v>3</v>
      </c>
      <c r="L2565">
        <v>49</v>
      </c>
      <c r="M2565">
        <v>49</v>
      </c>
      <c r="N2565">
        <v>0</v>
      </c>
      <c r="O2565" s="1">
        <v>45582.364907407406</v>
      </c>
      <c r="P2565" t="s">
        <v>125</v>
      </c>
    </row>
    <row r="2566" spans="1:16" x14ac:dyDescent="0.3">
      <c r="A2566" t="s">
        <v>25</v>
      </c>
      <c r="B2566" s="1">
        <v>45582.364907407406</v>
      </c>
      <c r="C2566" t="str">
        <f t="shared" si="489"/>
        <v>41</v>
      </c>
      <c r="D2566" t="s">
        <v>120</v>
      </c>
      <c r="E2566" t="s">
        <v>116</v>
      </c>
      <c r="F2566" t="s">
        <v>117</v>
      </c>
      <c r="H2566" t="s">
        <v>693</v>
      </c>
      <c r="I2566" t="str">
        <f>"101050002020073"</f>
        <v>101050002020073</v>
      </c>
      <c r="J2566" t="str">
        <f t="shared" si="490"/>
        <v>127924</v>
      </c>
      <c r="K2566" t="s">
        <v>3</v>
      </c>
      <c r="L2566">
        <v>49</v>
      </c>
      <c r="M2566">
        <v>49</v>
      </c>
      <c r="N2566">
        <v>0</v>
      </c>
      <c r="O2566" s="1">
        <v>45582.364907407406</v>
      </c>
      <c r="P2566" t="s">
        <v>125</v>
      </c>
    </row>
    <row r="2567" spans="1:16" x14ac:dyDescent="0.3">
      <c r="A2567" t="s">
        <v>25</v>
      </c>
      <c r="B2567" s="1">
        <v>45582.364907407406</v>
      </c>
      <c r="C2567" t="str">
        <f t="shared" si="489"/>
        <v>41</v>
      </c>
      <c r="D2567" t="s">
        <v>120</v>
      </c>
      <c r="E2567" t="s">
        <v>116</v>
      </c>
      <c r="F2567" t="s">
        <v>117</v>
      </c>
      <c r="H2567" t="s">
        <v>693</v>
      </c>
      <c r="I2567" t="str">
        <f>"101050002020300"</f>
        <v>101050002020300</v>
      </c>
      <c r="J2567" t="str">
        <f t="shared" si="490"/>
        <v>127924</v>
      </c>
      <c r="K2567" t="s">
        <v>3</v>
      </c>
      <c r="L2567">
        <v>49</v>
      </c>
      <c r="M2567">
        <v>49</v>
      </c>
      <c r="N2567">
        <v>0</v>
      </c>
      <c r="O2567" s="1">
        <v>45582.364907407406</v>
      </c>
      <c r="P2567" t="s">
        <v>125</v>
      </c>
    </row>
    <row r="2568" spans="1:16" x14ac:dyDescent="0.3">
      <c r="A2568" t="s">
        <v>25</v>
      </c>
      <c r="B2568" s="1">
        <v>45582.364907407406</v>
      </c>
      <c r="C2568" t="str">
        <f t="shared" si="489"/>
        <v>41</v>
      </c>
      <c r="D2568" t="s">
        <v>120</v>
      </c>
      <c r="E2568" t="s">
        <v>116</v>
      </c>
      <c r="F2568" t="s">
        <v>117</v>
      </c>
      <c r="H2568" t="s">
        <v>693</v>
      </c>
      <c r="I2568" t="str">
        <f>"101050002020301"</f>
        <v>101050002020301</v>
      </c>
      <c r="J2568" t="str">
        <f t="shared" si="490"/>
        <v>127924</v>
      </c>
      <c r="K2568" t="s">
        <v>3</v>
      </c>
      <c r="L2568">
        <v>49</v>
      </c>
      <c r="M2568">
        <v>49</v>
      </c>
      <c r="N2568">
        <v>0</v>
      </c>
      <c r="O2568" s="1">
        <v>45582.364907407406</v>
      </c>
      <c r="P2568" t="s">
        <v>125</v>
      </c>
    </row>
    <row r="2569" spans="1:16" x14ac:dyDescent="0.3">
      <c r="A2569" t="s">
        <v>25</v>
      </c>
      <c r="B2569" s="1">
        <v>45582.364907407406</v>
      </c>
      <c r="C2569" t="str">
        <f t="shared" si="489"/>
        <v>41</v>
      </c>
      <c r="D2569" t="s">
        <v>120</v>
      </c>
      <c r="E2569" t="s">
        <v>116</v>
      </c>
      <c r="F2569" t="s">
        <v>117</v>
      </c>
      <c r="H2569" t="s">
        <v>693</v>
      </c>
      <c r="I2569" t="str">
        <f>"101050002020302"</f>
        <v>101050002020302</v>
      </c>
      <c r="J2569" t="str">
        <f t="shared" si="490"/>
        <v>127924</v>
      </c>
      <c r="K2569" t="s">
        <v>3</v>
      </c>
      <c r="L2569">
        <v>49</v>
      </c>
      <c r="M2569">
        <v>49</v>
      </c>
      <c r="N2569">
        <v>0</v>
      </c>
      <c r="O2569" s="1">
        <v>45582.364907407406</v>
      </c>
      <c r="P2569" t="s">
        <v>125</v>
      </c>
    </row>
    <row r="2570" spans="1:16" x14ac:dyDescent="0.3">
      <c r="A2570" t="s">
        <v>25</v>
      </c>
      <c r="B2570" s="1">
        <v>45582.364907407406</v>
      </c>
      <c r="C2570" t="str">
        <f t="shared" si="489"/>
        <v>41</v>
      </c>
      <c r="D2570" t="s">
        <v>120</v>
      </c>
      <c r="E2570" t="s">
        <v>116</v>
      </c>
      <c r="F2570" t="s">
        <v>117</v>
      </c>
      <c r="H2570" t="s">
        <v>693</v>
      </c>
      <c r="I2570" t="str">
        <f>"101050002017098"</f>
        <v>101050002017098</v>
      </c>
      <c r="J2570" t="str">
        <f t="shared" si="490"/>
        <v>127924</v>
      </c>
      <c r="K2570" t="s">
        <v>3</v>
      </c>
      <c r="L2570">
        <v>49</v>
      </c>
      <c r="M2570">
        <v>49</v>
      </c>
      <c r="N2570">
        <v>0</v>
      </c>
      <c r="O2570" s="1">
        <v>45582.364907407406</v>
      </c>
      <c r="P2570" t="s">
        <v>125</v>
      </c>
    </row>
    <row r="2571" spans="1:16" x14ac:dyDescent="0.3">
      <c r="A2571" t="s">
        <v>25</v>
      </c>
      <c r="B2571" s="1">
        <v>45582.36478009259</v>
      </c>
      <c r="C2571" t="str">
        <f>"38"</f>
        <v>38</v>
      </c>
      <c r="D2571" t="s">
        <v>115</v>
      </c>
      <c r="E2571" t="s">
        <v>116</v>
      </c>
      <c r="F2571" t="s">
        <v>117</v>
      </c>
      <c r="H2571" t="s">
        <v>694</v>
      </c>
      <c r="L2571">
        <v>0</v>
      </c>
      <c r="M2571">
        <v>0</v>
      </c>
      <c r="N2571">
        <v>0</v>
      </c>
      <c r="O2571" s="1">
        <v>45582.36478009259</v>
      </c>
      <c r="P2571" t="s">
        <v>119</v>
      </c>
    </row>
    <row r="2572" spans="1:16" x14ac:dyDescent="0.3">
      <c r="A2572" t="s">
        <v>25</v>
      </c>
      <c r="B2572" s="1">
        <v>45582.364768518521</v>
      </c>
      <c r="C2572" t="str">
        <f t="shared" ref="C2572:C2578" si="491">"41"</f>
        <v>41</v>
      </c>
      <c r="D2572" t="s">
        <v>120</v>
      </c>
      <c r="E2572" t="s">
        <v>116</v>
      </c>
      <c r="F2572" t="s">
        <v>117</v>
      </c>
      <c r="H2572" t="s">
        <v>694</v>
      </c>
      <c r="I2572" t="str">
        <f>"101050002024561"</f>
        <v>101050002024561</v>
      </c>
      <c r="J2572" t="str">
        <f t="shared" ref="J2572:J2578" si="492">"514866"</f>
        <v>514866</v>
      </c>
      <c r="K2572" t="s">
        <v>14</v>
      </c>
      <c r="L2572">
        <v>49</v>
      </c>
      <c r="M2572">
        <v>49</v>
      </c>
      <c r="N2572">
        <v>0</v>
      </c>
      <c r="O2572" s="1">
        <v>45582.364768518521</v>
      </c>
      <c r="P2572" t="s">
        <v>119</v>
      </c>
    </row>
    <row r="2573" spans="1:16" x14ac:dyDescent="0.3">
      <c r="A2573" t="s">
        <v>25</v>
      </c>
      <c r="B2573" s="1">
        <v>45582.364768518521</v>
      </c>
      <c r="C2573" t="str">
        <f t="shared" si="491"/>
        <v>41</v>
      </c>
      <c r="D2573" t="s">
        <v>120</v>
      </c>
      <c r="E2573" t="s">
        <v>116</v>
      </c>
      <c r="F2573" t="s">
        <v>117</v>
      </c>
      <c r="H2573" t="s">
        <v>694</v>
      </c>
      <c r="I2573" t="str">
        <f>"101050002017292"</f>
        <v>101050002017292</v>
      </c>
      <c r="J2573" t="str">
        <f t="shared" si="492"/>
        <v>514866</v>
      </c>
      <c r="K2573" t="s">
        <v>14</v>
      </c>
      <c r="L2573">
        <v>49</v>
      </c>
      <c r="M2573">
        <v>49</v>
      </c>
      <c r="N2573">
        <v>0</v>
      </c>
      <c r="O2573" s="1">
        <v>45582.364768518521</v>
      </c>
      <c r="P2573" t="s">
        <v>119</v>
      </c>
    </row>
    <row r="2574" spans="1:16" x14ac:dyDescent="0.3">
      <c r="A2574" t="s">
        <v>25</v>
      </c>
      <c r="B2574" s="1">
        <v>45582.364768518521</v>
      </c>
      <c r="C2574" t="str">
        <f t="shared" si="491"/>
        <v>41</v>
      </c>
      <c r="D2574" t="s">
        <v>120</v>
      </c>
      <c r="E2574" t="s">
        <v>116</v>
      </c>
      <c r="F2574" t="s">
        <v>117</v>
      </c>
      <c r="H2574" t="s">
        <v>694</v>
      </c>
      <c r="I2574" t="str">
        <f>"101050002017384"</f>
        <v>101050002017384</v>
      </c>
      <c r="J2574" t="str">
        <f t="shared" si="492"/>
        <v>514866</v>
      </c>
      <c r="K2574" t="s">
        <v>14</v>
      </c>
      <c r="L2574">
        <v>49</v>
      </c>
      <c r="M2574">
        <v>49</v>
      </c>
      <c r="N2574">
        <v>0</v>
      </c>
      <c r="O2574" s="1">
        <v>45582.364768518521</v>
      </c>
      <c r="P2574" t="s">
        <v>119</v>
      </c>
    </row>
    <row r="2575" spans="1:16" x14ac:dyDescent="0.3">
      <c r="A2575" t="s">
        <v>25</v>
      </c>
      <c r="B2575" s="1">
        <v>45582.364768518521</v>
      </c>
      <c r="C2575" t="str">
        <f t="shared" si="491"/>
        <v>41</v>
      </c>
      <c r="D2575" t="s">
        <v>120</v>
      </c>
      <c r="E2575" t="s">
        <v>116</v>
      </c>
      <c r="F2575" t="s">
        <v>117</v>
      </c>
      <c r="H2575" t="s">
        <v>694</v>
      </c>
      <c r="I2575" t="str">
        <f>"101620000457560"</f>
        <v>101620000457560</v>
      </c>
      <c r="J2575" t="str">
        <f t="shared" si="492"/>
        <v>514866</v>
      </c>
      <c r="K2575" t="s">
        <v>14</v>
      </c>
      <c r="L2575">
        <v>49</v>
      </c>
      <c r="M2575">
        <v>49</v>
      </c>
      <c r="N2575">
        <v>0</v>
      </c>
      <c r="O2575" s="1">
        <v>45582.364768518521</v>
      </c>
      <c r="P2575" t="s">
        <v>119</v>
      </c>
    </row>
    <row r="2576" spans="1:16" x14ac:dyDescent="0.3">
      <c r="A2576" t="s">
        <v>25</v>
      </c>
      <c r="B2576" s="1">
        <v>45582.364768518521</v>
      </c>
      <c r="C2576" t="str">
        <f t="shared" si="491"/>
        <v>41</v>
      </c>
      <c r="D2576" t="s">
        <v>120</v>
      </c>
      <c r="E2576" t="s">
        <v>116</v>
      </c>
      <c r="F2576" t="s">
        <v>117</v>
      </c>
      <c r="H2576" t="s">
        <v>694</v>
      </c>
      <c r="I2576" t="str">
        <f>"101620000457960"</f>
        <v>101620000457960</v>
      </c>
      <c r="J2576" t="str">
        <f t="shared" si="492"/>
        <v>514866</v>
      </c>
      <c r="K2576" t="s">
        <v>14</v>
      </c>
      <c r="L2576">
        <v>49</v>
      </c>
      <c r="M2576">
        <v>49</v>
      </c>
      <c r="N2576">
        <v>0</v>
      </c>
      <c r="O2576" s="1">
        <v>45582.364768518521</v>
      </c>
      <c r="P2576" t="s">
        <v>119</v>
      </c>
    </row>
    <row r="2577" spans="1:16" x14ac:dyDescent="0.3">
      <c r="A2577" t="s">
        <v>25</v>
      </c>
      <c r="B2577" s="1">
        <v>45582.364768518521</v>
      </c>
      <c r="C2577" t="str">
        <f t="shared" si="491"/>
        <v>41</v>
      </c>
      <c r="D2577" t="s">
        <v>120</v>
      </c>
      <c r="E2577" t="s">
        <v>116</v>
      </c>
      <c r="F2577" t="s">
        <v>117</v>
      </c>
      <c r="H2577" t="s">
        <v>694</v>
      </c>
      <c r="I2577" t="str">
        <f>"101620000457949"</f>
        <v>101620000457949</v>
      </c>
      <c r="J2577" t="str">
        <f t="shared" si="492"/>
        <v>514866</v>
      </c>
      <c r="K2577" t="s">
        <v>14</v>
      </c>
      <c r="L2577">
        <v>49</v>
      </c>
      <c r="M2577">
        <v>49</v>
      </c>
      <c r="N2577">
        <v>0</v>
      </c>
      <c r="O2577" s="1">
        <v>45582.364768518521</v>
      </c>
      <c r="P2577" t="s">
        <v>119</v>
      </c>
    </row>
    <row r="2578" spans="1:16" x14ac:dyDescent="0.3">
      <c r="A2578" t="s">
        <v>25</v>
      </c>
      <c r="B2578" s="1">
        <v>45582.364768518521</v>
      </c>
      <c r="C2578" t="str">
        <f t="shared" si="491"/>
        <v>41</v>
      </c>
      <c r="D2578" t="s">
        <v>120</v>
      </c>
      <c r="E2578" t="s">
        <v>116</v>
      </c>
      <c r="F2578" t="s">
        <v>117</v>
      </c>
      <c r="H2578" t="s">
        <v>694</v>
      </c>
      <c r="I2578" t="str">
        <f>"101620000457947"</f>
        <v>101620000457947</v>
      </c>
      <c r="J2578" t="str">
        <f t="shared" si="492"/>
        <v>514866</v>
      </c>
      <c r="K2578" t="s">
        <v>14</v>
      </c>
      <c r="L2578">
        <v>49</v>
      </c>
      <c r="M2578">
        <v>49</v>
      </c>
      <c r="N2578">
        <v>0</v>
      </c>
      <c r="O2578" s="1">
        <v>45582.364768518521</v>
      </c>
      <c r="P2578" t="s">
        <v>119</v>
      </c>
    </row>
    <row r="2579" spans="1:16" x14ac:dyDescent="0.3">
      <c r="A2579" t="s">
        <v>25</v>
      </c>
      <c r="B2579" s="1">
        <v>45582.364236111112</v>
      </c>
      <c r="C2579" t="str">
        <f>"38"</f>
        <v>38</v>
      </c>
      <c r="D2579" t="s">
        <v>115</v>
      </c>
      <c r="E2579" t="s">
        <v>116</v>
      </c>
      <c r="F2579" t="s">
        <v>117</v>
      </c>
      <c r="H2579" t="s">
        <v>547</v>
      </c>
      <c r="L2579">
        <v>0</v>
      </c>
      <c r="M2579">
        <v>0</v>
      </c>
      <c r="N2579">
        <v>0</v>
      </c>
      <c r="O2579" s="1">
        <v>45582.364236111112</v>
      </c>
      <c r="P2579" t="s">
        <v>132</v>
      </c>
    </row>
    <row r="2580" spans="1:16" x14ac:dyDescent="0.3">
      <c r="A2580" t="s">
        <v>25</v>
      </c>
      <c r="B2580" s="1">
        <v>45582.364236111112</v>
      </c>
      <c r="C2580" t="str">
        <f t="shared" ref="C2580:C2586" si="493">"41"</f>
        <v>41</v>
      </c>
      <c r="D2580" t="s">
        <v>120</v>
      </c>
      <c r="E2580" t="s">
        <v>116</v>
      </c>
      <c r="F2580" t="s">
        <v>117</v>
      </c>
      <c r="H2580" t="s">
        <v>547</v>
      </c>
      <c r="I2580" t="str">
        <f>"101050002023785"</f>
        <v>101050002023785</v>
      </c>
      <c r="J2580" t="str">
        <f t="shared" ref="J2580:J2586" si="494">"124824"</f>
        <v>124824</v>
      </c>
      <c r="K2580" t="s">
        <v>37</v>
      </c>
      <c r="L2580">
        <v>49</v>
      </c>
      <c r="M2580">
        <v>49</v>
      </c>
      <c r="N2580">
        <v>0</v>
      </c>
      <c r="O2580" s="1">
        <v>45582.364236111112</v>
      </c>
      <c r="P2580" t="s">
        <v>132</v>
      </c>
    </row>
    <row r="2581" spans="1:16" x14ac:dyDescent="0.3">
      <c r="A2581" t="s">
        <v>25</v>
      </c>
      <c r="B2581" s="1">
        <v>45582.364236111112</v>
      </c>
      <c r="C2581" t="str">
        <f t="shared" si="493"/>
        <v>41</v>
      </c>
      <c r="D2581" t="s">
        <v>120</v>
      </c>
      <c r="E2581" t="s">
        <v>116</v>
      </c>
      <c r="F2581" t="s">
        <v>117</v>
      </c>
      <c r="H2581" t="s">
        <v>547</v>
      </c>
      <c r="I2581" t="str">
        <f>"101050002023784"</f>
        <v>101050002023784</v>
      </c>
      <c r="J2581" t="str">
        <f t="shared" si="494"/>
        <v>124824</v>
      </c>
      <c r="K2581" t="s">
        <v>37</v>
      </c>
      <c r="L2581">
        <v>49</v>
      </c>
      <c r="M2581">
        <v>49</v>
      </c>
      <c r="N2581">
        <v>0</v>
      </c>
      <c r="O2581" s="1">
        <v>45582.364236111112</v>
      </c>
      <c r="P2581" t="s">
        <v>132</v>
      </c>
    </row>
    <row r="2582" spans="1:16" x14ac:dyDescent="0.3">
      <c r="A2582" t="s">
        <v>25</v>
      </c>
      <c r="B2582" s="1">
        <v>45582.364236111112</v>
      </c>
      <c r="C2582" t="str">
        <f t="shared" si="493"/>
        <v>41</v>
      </c>
      <c r="D2582" t="s">
        <v>120</v>
      </c>
      <c r="E2582" t="s">
        <v>116</v>
      </c>
      <c r="F2582" t="s">
        <v>117</v>
      </c>
      <c r="H2582" t="s">
        <v>547</v>
      </c>
      <c r="I2582" t="str">
        <f>"101050002023782"</f>
        <v>101050002023782</v>
      </c>
      <c r="J2582" t="str">
        <f t="shared" si="494"/>
        <v>124824</v>
      </c>
      <c r="K2582" t="s">
        <v>37</v>
      </c>
      <c r="L2582">
        <v>49</v>
      </c>
      <c r="M2582">
        <v>49</v>
      </c>
      <c r="N2582">
        <v>0</v>
      </c>
      <c r="O2582" s="1">
        <v>45582.364236111112</v>
      </c>
      <c r="P2582" t="s">
        <v>132</v>
      </c>
    </row>
    <row r="2583" spans="1:16" x14ac:dyDescent="0.3">
      <c r="A2583" t="s">
        <v>25</v>
      </c>
      <c r="B2583" s="1">
        <v>45582.364236111112</v>
      </c>
      <c r="C2583" t="str">
        <f t="shared" si="493"/>
        <v>41</v>
      </c>
      <c r="D2583" t="s">
        <v>120</v>
      </c>
      <c r="E2583" t="s">
        <v>116</v>
      </c>
      <c r="F2583" t="s">
        <v>117</v>
      </c>
      <c r="H2583" t="s">
        <v>547</v>
      </c>
      <c r="I2583" t="str">
        <f>"101050002023781"</f>
        <v>101050002023781</v>
      </c>
      <c r="J2583" t="str">
        <f t="shared" si="494"/>
        <v>124824</v>
      </c>
      <c r="K2583" t="s">
        <v>37</v>
      </c>
      <c r="L2583">
        <v>49</v>
      </c>
      <c r="M2583">
        <v>49</v>
      </c>
      <c r="N2583">
        <v>0</v>
      </c>
      <c r="O2583" s="1">
        <v>45582.364236111112</v>
      </c>
      <c r="P2583" t="s">
        <v>132</v>
      </c>
    </row>
    <row r="2584" spans="1:16" x14ac:dyDescent="0.3">
      <c r="A2584" t="s">
        <v>25</v>
      </c>
      <c r="B2584" s="1">
        <v>45582.364224537036</v>
      </c>
      <c r="C2584" t="str">
        <f t="shared" si="493"/>
        <v>41</v>
      </c>
      <c r="D2584" t="s">
        <v>120</v>
      </c>
      <c r="E2584" t="s">
        <v>116</v>
      </c>
      <c r="F2584" t="s">
        <v>117</v>
      </c>
      <c r="H2584" t="s">
        <v>547</v>
      </c>
      <c r="I2584" t="str">
        <f>"101050002023780"</f>
        <v>101050002023780</v>
      </c>
      <c r="J2584" t="str">
        <f t="shared" si="494"/>
        <v>124824</v>
      </c>
      <c r="K2584" t="s">
        <v>37</v>
      </c>
      <c r="L2584">
        <v>49</v>
      </c>
      <c r="M2584">
        <v>49</v>
      </c>
      <c r="N2584">
        <v>0</v>
      </c>
      <c r="O2584" s="1">
        <v>45582.364224537036</v>
      </c>
      <c r="P2584" t="s">
        <v>132</v>
      </c>
    </row>
    <row r="2585" spans="1:16" x14ac:dyDescent="0.3">
      <c r="A2585" t="s">
        <v>25</v>
      </c>
      <c r="B2585" s="1">
        <v>45582.364224537036</v>
      </c>
      <c r="C2585" t="str">
        <f t="shared" si="493"/>
        <v>41</v>
      </c>
      <c r="D2585" t="s">
        <v>120</v>
      </c>
      <c r="E2585" t="s">
        <v>116</v>
      </c>
      <c r="F2585" t="s">
        <v>117</v>
      </c>
      <c r="H2585" t="s">
        <v>547</v>
      </c>
      <c r="I2585" t="str">
        <f>"101050002023779"</f>
        <v>101050002023779</v>
      </c>
      <c r="J2585" t="str">
        <f t="shared" si="494"/>
        <v>124824</v>
      </c>
      <c r="K2585" t="s">
        <v>37</v>
      </c>
      <c r="L2585">
        <v>49</v>
      </c>
      <c r="M2585">
        <v>49</v>
      </c>
      <c r="N2585">
        <v>0</v>
      </c>
      <c r="O2585" s="1">
        <v>45582.364224537036</v>
      </c>
      <c r="P2585" t="s">
        <v>132</v>
      </c>
    </row>
    <row r="2586" spans="1:16" x14ac:dyDescent="0.3">
      <c r="A2586" t="s">
        <v>25</v>
      </c>
      <c r="B2586" s="1">
        <v>45582.364224537036</v>
      </c>
      <c r="C2586" t="str">
        <f t="shared" si="493"/>
        <v>41</v>
      </c>
      <c r="D2586" t="s">
        <v>120</v>
      </c>
      <c r="E2586" t="s">
        <v>116</v>
      </c>
      <c r="F2586" t="s">
        <v>117</v>
      </c>
      <c r="H2586" t="s">
        <v>547</v>
      </c>
      <c r="I2586" t="str">
        <f>"101050002021678"</f>
        <v>101050002021678</v>
      </c>
      <c r="J2586" t="str">
        <f t="shared" si="494"/>
        <v>124824</v>
      </c>
      <c r="K2586" t="s">
        <v>37</v>
      </c>
      <c r="L2586">
        <v>49</v>
      </c>
      <c r="M2586">
        <v>49</v>
      </c>
      <c r="N2586">
        <v>0</v>
      </c>
      <c r="O2586" s="1">
        <v>45582.364224537036</v>
      </c>
      <c r="P2586" t="s">
        <v>132</v>
      </c>
    </row>
    <row r="2587" spans="1:16" x14ac:dyDescent="0.3">
      <c r="A2587" t="s">
        <v>25</v>
      </c>
      <c r="B2587" s="1">
        <v>45582.363807870373</v>
      </c>
      <c r="C2587" t="str">
        <f>"38"</f>
        <v>38</v>
      </c>
      <c r="D2587" t="s">
        <v>115</v>
      </c>
      <c r="E2587" t="s">
        <v>116</v>
      </c>
      <c r="F2587" t="s">
        <v>117</v>
      </c>
      <c r="H2587" t="s">
        <v>695</v>
      </c>
      <c r="L2587">
        <v>0</v>
      </c>
      <c r="M2587">
        <v>0</v>
      </c>
      <c r="N2587">
        <v>0</v>
      </c>
      <c r="O2587" s="1">
        <v>45582.363807870373</v>
      </c>
      <c r="P2587" t="s">
        <v>125</v>
      </c>
    </row>
    <row r="2588" spans="1:16" x14ac:dyDescent="0.3">
      <c r="A2588" t="s">
        <v>25</v>
      </c>
      <c r="B2588" s="1">
        <v>45582.363807870373</v>
      </c>
      <c r="C2588" t="str">
        <f t="shared" ref="C2588:C2594" si="495">"41"</f>
        <v>41</v>
      </c>
      <c r="D2588" t="s">
        <v>120</v>
      </c>
      <c r="E2588" t="s">
        <v>116</v>
      </c>
      <c r="F2588" t="s">
        <v>117</v>
      </c>
      <c r="H2588" t="s">
        <v>695</v>
      </c>
      <c r="I2588" t="str">
        <f>"101050001991012"</f>
        <v>101050001991012</v>
      </c>
      <c r="J2588" t="str">
        <f t="shared" ref="J2588:J2594" si="496">"514475"</f>
        <v>514475</v>
      </c>
      <c r="K2588" t="s">
        <v>23</v>
      </c>
      <c r="L2588">
        <v>49</v>
      </c>
      <c r="M2588">
        <v>49</v>
      </c>
      <c r="N2588">
        <v>0</v>
      </c>
      <c r="O2588" s="1">
        <v>45582.363807870373</v>
      </c>
      <c r="P2588" t="s">
        <v>125</v>
      </c>
    </row>
    <row r="2589" spans="1:16" x14ac:dyDescent="0.3">
      <c r="A2589" t="s">
        <v>25</v>
      </c>
      <c r="B2589" s="1">
        <v>45582.363796296297</v>
      </c>
      <c r="C2589" t="str">
        <f t="shared" si="495"/>
        <v>41</v>
      </c>
      <c r="D2589" t="s">
        <v>120</v>
      </c>
      <c r="E2589" t="s">
        <v>116</v>
      </c>
      <c r="F2589" t="s">
        <v>117</v>
      </c>
      <c r="H2589" t="s">
        <v>695</v>
      </c>
      <c r="I2589" t="str">
        <f>"101050001991083"</f>
        <v>101050001991083</v>
      </c>
      <c r="J2589" t="str">
        <f t="shared" si="496"/>
        <v>514475</v>
      </c>
      <c r="K2589" t="s">
        <v>23</v>
      </c>
      <c r="L2589">
        <v>49</v>
      </c>
      <c r="M2589">
        <v>49</v>
      </c>
      <c r="N2589">
        <v>0</v>
      </c>
      <c r="O2589" s="1">
        <v>45582.363796296297</v>
      </c>
      <c r="P2589" t="s">
        <v>125</v>
      </c>
    </row>
    <row r="2590" spans="1:16" x14ac:dyDescent="0.3">
      <c r="A2590" t="s">
        <v>25</v>
      </c>
      <c r="B2590" s="1">
        <v>45582.363796296297</v>
      </c>
      <c r="C2590" t="str">
        <f t="shared" si="495"/>
        <v>41</v>
      </c>
      <c r="D2590" t="s">
        <v>120</v>
      </c>
      <c r="E2590" t="s">
        <v>116</v>
      </c>
      <c r="F2590" t="s">
        <v>117</v>
      </c>
      <c r="H2590" t="s">
        <v>695</v>
      </c>
      <c r="I2590" t="str">
        <f>"101050001991013"</f>
        <v>101050001991013</v>
      </c>
      <c r="J2590" t="str">
        <f t="shared" si="496"/>
        <v>514475</v>
      </c>
      <c r="K2590" t="s">
        <v>23</v>
      </c>
      <c r="L2590">
        <v>49</v>
      </c>
      <c r="M2590">
        <v>49</v>
      </c>
      <c r="N2590">
        <v>0</v>
      </c>
      <c r="O2590" s="1">
        <v>45582.363796296297</v>
      </c>
      <c r="P2590" t="s">
        <v>125</v>
      </c>
    </row>
    <row r="2591" spans="1:16" x14ac:dyDescent="0.3">
      <c r="A2591" t="s">
        <v>25</v>
      </c>
      <c r="B2591" s="1">
        <v>45582.363796296297</v>
      </c>
      <c r="C2591" t="str">
        <f t="shared" si="495"/>
        <v>41</v>
      </c>
      <c r="D2591" t="s">
        <v>120</v>
      </c>
      <c r="E2591" t="s">
        <v>116</v>
      </c>
      <c r="F2591" t="s">
        <v>117</v>
      </c>
      <c r="H2591" t="s">
        <v>695</v>
      </c>
      <c r="I2591" t="str">
        <f>"101050001991086"</f>
        <v>101050001991086</v>
      </c>
      <c r="J2591" t="str">
        <f t="shared" si="496"/>
        <v>514475</v>
      </c>
      <c r="K2591" t="s">
        <v>23</v>
      </c>
      <c r="L2591">
        <v>49</v>
      </c>
      <c r="M2591">
        <v>49</v>
      </c>
      <c r="N2591">
        <v>0</v>
      </c>
      <c r="O2591" s="1">
        <v>45582.363796296297</v>
      </c>
      <c r="P2591" t="s">
        <v>125</v>
      </c>
    </row>
    <row r="2592" spans="1:16" x14ac:dyDescent="0.3">
      <c r="A2592" t="s">
        <v>25</v>
      </c>
      <c r="B2592" s="1">
        <v>45582.363796296297</v>
      </c>
      <c r="C2592" t="str">
        <f t="shared" si="495"/>
        <v>41</v>
      </c>
      <c r="D2592" t="s">
        <v>120</v>
      </c>
      <c r="E2592" t="s">
        <v>116</v>
      </c>
      <c r="F2592" t="s">
        <v>117</v>
      </c>
      <c r="H2592" t="s">
        <v>695</v>
      </c>
      <c r="I2592" t="str">
        <f>"101050001991010"</f>
        <v>101050001991010</v>
      </c>
      <c r="J2592" t="str">
        <f t="shared" si="496"/>
        <v>514475</v>
      </c>
      <c r="K2592" t="s">
        <v>23</v>
      </c>
      <c r="L2592">
        <v>49</v>
      </c>
      <c r="M2592">
        <v>49</v>
      </c>
      <c r="N2592">
        <v>0</v>
      </c>
      <c r="O2592" s="1">
        <v>45582.363796296297</v>
      </c>
      <c r="P2592" t="s">
        <v>125</v>
      </c>
    </row>
    <row r="2593" spans="1:16" x14ac:dyDescent="0.3">
      <c r="A2593" t="s">
        <v>25</v>
      </c>
      <c r="B2593" s="1">
        <v>45582.363796296297</v>
      </c>
      <c r="C2593" t="str">
        <f t="shared" si="495"/>
        <v>41</v>
      </c>
      <c r="D2593" t="s">
        <v>120</v>
      </c>
      <c r="E2593" t="s">
        <v>116</v>
      </c>
      <c r="F2593" t="s">
        <v>117</v>
      </c>
      <c r="H2593" t="s">
        <v>695</v>
      </c>
      <c r="I2593" t="str">
        <f>"101050001991084"</f>
        <v>101050001991084</v>
      </c>
      <c r="J2593" t="str">
        <f t="shared" si="496"/>
        <v>514475</v>
      </c>
      <c r="K2593" t="s">
        <v>23</v>
      </c>
      <c r="L2593">
        <v>49</v>
      </c>
      <c r="M2593">
        <v>49</v>
      </c>
      <c r="N2593">
        <v>0</v>
      </c>
      <c r="O2593" s="1">
        <v>45582.363796296297</v>
      </c>
      <c r="P2593" t="s">
        <v>125</v>
      </c>
    </row>
    <row r="2594" spans="1:16" x14ac:dyDescent="0.3">
      <c r="A2594" t="s">
        <v>25</v>
      </c>
      <c r="B2594" s="1">
        <v>45582.363796296297</v>
      </c>
      <c r="C2594" t="str">
        <f t="shared" si="495"/>
        <v>41</v>
      </c>
      <c r="D2594" t="s">
        <v>120</v>
      </c>
      <c r="E2594" t="s">
        <v>116</v>
      </c>
      <c r="F2594" t="s">
        <v>117</v>
      </c>
      <c r="H2594" t="s">
        <v>695</v>
      </c>
      <c r="I2594" t="str">
        <f>"101050001991085"</f>
        <v>101050001991085</v>
      </c>
      <c r="J2594" t="str">
        <f t="shared" si="496"/>
        <v>514475</v>
      </c>
      <c r="K2594" t="s">
        <v>23</v>
      </c>
      <c r="L2594">
        <v>49</v>
      </c>
      <c r="M2594">
        <v>49</v>
      </c>
      <c r="N2594">
        <v>0</v>
      </c>
      <c r="O2594" s="1">
        <v>45582.363796296297</v>
      </c>
      <c r="P2594" t="s">
        <v>125</v>
      </c>
    </row>
    <row r="2595" spans="1:16" x14ac:dyDescent="0.3">
      <c r="A2595" t="s">
        <v>25</v>
      </c>
      <c r="B2595" s="1">
        <v>45582.363506944443</v>
      </c>
      <c r="C2595" t="str">
        <f>"38"</f>
        <v>38</v>
      </c>
      <c r="D2595" t="s">
        <v>115</v>
      </c>
      <c r="E2595" t="s">
        <v>116</v>
      </c>
      <c r="F2595" t="s">
        <v>117</v>
      </c>
      <c r="H2595" t="s">
        <v>696</v>
      </c>
      <c r="L2595">
        <v>0</v>
      </c>
      <c r="M2595">
        <v>0</v>
      </c>
      <c r="N2595">
        <v>0</v>
      </c>
      <c r="O2595" s="1">
        <v>45582.363506944443</v>
      </c>
      <c r="P2595" t="s">
        <v>138</v>
      </c>
    </row>
    <row r="2596" spans="1:16" x14ac:dyDescent="0.3">
      <c r="A2596" t="s">
        <v>25</v>
      </c>
      <c r="B2596" s="1">
        <v>45582.363506944443</v>
      </c>
      <c r="C2596" t="str">
        <f t="shared" ref="C2596:C2602" si="497">"41"</f>
        <v>41</v>
      </c>
      <c r="D2596" t="s">
        <v>120</v>
      </c>
      <c r="E2596" t="s">
        <v>116</v>
      </c>
      <c r="F2596" t="s">
        <v>117</v>
      </c>
      <c r="H2596" t="s">
        <v>696</v>
      </c>
      <c r="I2596" t="str">
        <f>"101050002018044"</f>
        <v>101050002018044</v>
      </c>
      <c r="J2596" t="str">
        <f t="shared" ref="J2596:J2602" si="498">"124835"</f>
        <v>124835</v>
      </c>
      <c r="K2596" t="s">
        <v>32</v>
      </c>
      <c r="L2596">
        <v>91</v>
      </c>
      <c r="M2596">
        <v>91</v>
      </c>
      <c r="N2596">
        <v>0</v>
      </c>
      <c r="O2596" s="1">
        <v>45582.363506944443</v>
      </c>
      <c r="P2596" t="s">
        <v>138</v>
      </c>
    </row>
    <row r="2597" spans="1:16" x14ac:dyDescent="0.3">
      <c r="A2597" t="s">
        <v>25</v>
      </c>
      <c r="B2597" s="1">
        <v>45582.363506944443</v>
      </c>
      <c r="C2597" t="str">
        <f t="shared" si="497"/>
        <v>41</v>
      </c>
      <c r="D2597" t="s">
        <v>120</v>
      </c>
      <c r="E2597" t="s">
        <v>116</v>
      </c>
      <c r="F2597" t="s">
        <v>117</v>
      </c>
      <c r="H2597" t="s">
        <v>696</v>
      </c>
      <c r="I2597" t="str">
        <f>"101050002017799"</f>
        <v>101050002017799</v>
      </c>
      <c r="J2597" t="str">
        <f t="shared" si="498"/>
        <v>124835</v>
      </c>
      <c r="K2597" t="s">
        <v>32</v>
      </c>
      <c r="L2597">
        <v>91</v>
      </c>
      <c r="M2597">
        <v>91</v>
      </c>
      <c r="N2597">
        <v>0</v>
      </c>
      <c r="O2597" s="1">
        <v>45582.363506944443</v>
      </c>
      <c r="P2597" t="s">
        <v>138</v>
      </c>
    </row>
    <row r="2598" spans="1:16" x14ac:dyDescent="0.3">
      <c r="A2598" t="s">
        <v>25</v>
      </c>
      <c r="B2598" s="1">
        <v>45582.363495370373</v>
      </c>
      <c r="C2598" t="str">
        <f t="shared" si="497"/>
        <v>41</v>
      </c>
      <c r="D2598" t="s">
        <v>120</v>
      </c>
      <c r="E2598" t="s">
        <v>116</v>
      </c>
      <c r="F2598" t="s">
        <v>117</v>
      </c>
      <c r="H2598" t="s">
        <v>696</v>
      </c>
      <c r="I2598" t="str">
        <f>"101050002017600"</f>
        <v>101050002017600</v>
      </c>
      <c r="J2598" t="str">
        <f t="shared" si="498"/>
        <v>124835</v>
      </c>
      <c r="K2598" t="s">
        <v>32</v>
      </c>
      <c r="L2598">
        <v>91</v>
      </c>
      <c r="M2598">
        <v>91</v>
      </c>
      <c r="N2598">
        <v>0</v>
      </c>
      <c r="O2598" s="1">
        <v>45582.363495370373</v>
      </c>
      <c r="P2598" t="s">
        <v>138</v>
      </c>
    </row>
    <row r="2599" spans="1:16" x14ac:dyDescent="0.3">
      <c r="A2599" t="s">
        <v>25</v>
      </c>
      <c r="B2599" s="1">
        <v>45582.363495370373</v>
      </c>
      <c r="C2599" t="str">
        <f t="shared" si="497"/>
        <v>41</v>
      </c>
      <c r="D2599" t="s">
        <v>120</v>
      </c>
      <c r="E2599" t="s">
        <v>116</v>
      </c>
      <c r="F2599" t="s">
        <v>117</v>
      </c>
      <c r="H2599" t="s">
        <v>696</v>
      </c>
      <c r="I2599" t="str">
        <f>"101050002017599"</f>
        <v>101050002017599</v>
      </c>
      <c r="J2599" t="str">
        <f t="shared" si="498"/>
        <v>124835</v>
      </c>
      <c r="K2599" t="s">
        <v>32</v>
      </c>
      <c r="L2599">
        <v>91</v>
      </c>
      <c r="M2599">
        <v>91</v>
      </c>
      <c r="N2599">
        <v>0</v>
      </c>
      <c r="O2599" s="1">
        <v>45582.363495370373</v>
      </c>
      <c r="P2599" t="s">
        <v>138</v>
      </c>
    </row>
    <row r="2600" spans="1:16" x14ac:dyDescent="0.3">
      <c r="A2600" t="s">
        <v>25</v>
      </c>
      <c r="B2600" s="1">
        <v>45582.363495370373</v>
      </c>
      <c r="C2600" t="str">
        <f t="shared" si="497"/>
        <v>41</v>
      </c>
      <c r="D2600" t="s">
        <v>120</v>
      </c>
      <c r="E2600" t="s">
        <v>116</v>
      </c>
      <c r="F2600" t="s">
        <v>117</v>
      </c>
      <c r="H2600" t="s">
        <v>696</v>
      </c>
      <c r="I2600" t="str">
        <f>"101050002002936"</f>
        <v>101050002002936</v>
      </c>
      <c r="J2600" t="str">
        <f t="shared" si="498"/>
        <v>124835</v>
      </c>
      <c r="K2600" t="s">
        <v>32</v>
      </c>
      <c r="L2600">
        <v>91</v>
      </c>
      <c r="M2600">
        <v>91</v>
      </c>
      <c r="N2600">
        <v>0</v>
      </c>
      <c r="O2600" s="1">
        <v>45582.363495370373</v>
      </c>
      <c r="P2600" t="s">
        <v>138</v>
      </c>
    </row>
    <row r="2601" spans="1:16" x14ac:dyDescent="0.3">
      <c r="A2601" t="s">
        <v>25</v>
      </c>
      <c r="B2601" s="1">
        <v>45582.363495370373</v>
      </c>
      <c r="C2601" t="str">
        <f t="shared" si="497"/>
        <v>41</v>
      </c>
      <c r="D2601" t="s">
        <v>120</v>
      </c>
      <c r="E2601" t="s">
        <v>116</v>
      </c>
      <c r="F2601" t="s">
        <v>117</v>
      </c>
      <c r="H2601" t="s">
        <v>696</v>
      </c>
      <c r="I2601" t="str">
        <f>"101050002002937"</f>
        <v>101050002002937</v>
      </c>
      <c r="J2601" t="str">
        <f t="shared" si="498"/>
        <v>124835</v>
      </c>
      <c r="K2601" t="s">
        <v>32</v>
      </c>
      <c r="L2601">
        <v>91</v>
      </c>
      <c r="M2601">
        <v>91</v>
      </c>
      <c r="N2601">
        <v>0</v>
      </c>
      <c r="O2601" s="1">
        <v>45582.363495370373</v>
      </c>
      <c r="P2601" t="s">
        <v>138</v>
      </c>
    </row>
    <row r="2602" spans="1:16" x14ac:dyDescent="0.3">
      <c r="A2602" t="s">
        <v>25</v>
      </c>
      <c r="B2602" s="1">
        <v>45582.363495370373</v>
      </c>
      <c r="C2602" t="str">
        <f t="shared" si="497"/>
        <v>41</v>
      </c>
      <c r="D2602" t="s">
        <v>120</v>
      </c>
      <c r="E2602" t="s">
        <v>116</v>
      </c>
      <c r="F2602" t="s">
        <v>117</v>
      </c>
      <c r="H2602" t="s">
        <v>696</v>
      </c>
      <c r="I2602" t="str">
        <f>"101050002002935"</f>
        <v>101050002002935</v>
      </c>
      <c r="J2602" t="str">
        <f t="shared" si="498"/>
        <v>124835</v>
      </c>
      <c r="K2602" t="s">
        <v>32</v>
      </c>
      <c r="L2602">
        <v>91</v>
      </c>
      <c r="M2602">
        <v>91</v>
      </c>
      <c r="N2602">
        <v>0</v>
      </c>
      <c r="O2602" s="1">
        <v>45582.363495370373</v>
      </c>
      <c r="P2602" t="s">
        <v>138</v>
      </c>
    </row>
    <row r="2603" spans="1:16" x14ac:dyDescent="0.3">
      <c r="A2603" t="s">
        <v>25</v>
      </c>
      <c r="B2603" s="1">
        <v>45582.362708333334</v>
      </c>
      <c r="C2603" t="str">
        <f>"38"</f>
        <v>38</v>
      </c>
      <c r="D2603" t="s">
        <v>115</v>
      </c>
      <c r="E2603" t="s">
        <v>116</v>
      </c>
      <c r="F2603" t="s">
        <v>117</v>
      </c>
      <c r="H2603" t="s">
        <v>697</v>
      </c>
      <c r="L2603">
        <v>0</v>
      </c>
      <c r="M2603">
        <v>0</v>
      </c>
      <c r="N2603">
        <v>0</v>
      </c>
      <c r="O2603" s="1">
        <v>45582.362708333334</v>
      </c>
      <c r="P2603" t="s">
        <v>122</v>
      </c>
    </row>
    <row r="2604" spans="1:16" x14ac:dyDescent="0.3">
      <c r="A2604" t="s">
        <v>25</v>
      </c>
      <c r="B2604" s="1">
        <v>45582.362708333334</v>
      </c>
      <c r="C2604" t="str">
        <f>"41"</f>
        <v>41</v>
      </c>
      <c r="D2604" t="s">
        <v>120</v>
      </c>
      <c r="E2604" t="s">
        <v>116</v>
      </c>
      <c r="F2604" t="s">
        <v>117</v>
      </c>
      <c r="H2604" t="s">
        <v>697</v>
      </c>
      <c r="I2604" t="str">
        <f>"101570001102732"</f>
        <v>101570001102732</v>
      </c>
      <c r="J2604" t="str">
        <f>"128423"</f>
        <v>128423</v>
      </c>
      <c r="K2604" t="s">
        <v>698</v>
      </c>
      <c r="L2604">
        <v>49</v>
      </c>
      <c r="M2604">
        <v>49</v>
      </c>
      <c r="N2604">
        <v>0</v>
      </c>
      <c r="O2604" s="1">
        <v>45582.362708333334</v>
      </c>
      <c r="P2604" t="s">
        <v>122</v>
      </c>
    </row>
    <row r="2605" spans="1:16" x14ac:dyDescent="0.3">
      <c r="A2605" t="s">
        <v>25</v>
      </c>
      <c r="B2605" s="1">
        <v>45582.362708333334</v>
      </c>
      <c r="C2605" t="str">
        <f>"41"</f>
        <v>41</v>
      </c>
      <c r="D2605" t="s">
        <v>120</v>
      </c>
      <c r="E2605" t="s">
        <v>116</v>
      </c>
      <c r="F2605" t="s">
        <v>117</v>
      </c>
      <c r="H2605" t="s">
        <v>697</v>
      </c>
      <c r="I2605" t="str">
        <f>"101570001097008"</f>
        <v>101570001097008</v>
      </c>
      <c r="J2605" t="str">
        <f>"128423"</f>
        <v>128423</v>
      </c>
      <c r="K2605" t="s">
        <v>698</v>
      </c>
      <c r="L2605">
        <v>49</v>
      </c>
      <c r="M2605">
        <v>49</v>
      </c>
      <c r="N2605">
        <v>0</v>
      </c>
      <c r="O2605" s="1">
        <v>45582.362708333334</v>
      </c>
      <c r="P2605" t="s">
        <v>122</v>
      </c>
    </row>
    <row r="2606" spans="1:16" x14ac:dyDescent="0.3">
      <c r="A2606" t="s">
        <v>25</v>
      </c>
      <c r="B2606" s="1">
        <v>45582.362708333334</v>
      </c>
      <c r="C2606" t="str">
        <f>"41"</f>
        <v>41</v>
      </c>
      <c r="D2606" t="s">
        <v>120</v>
      </c>
      <c r="E2606" t="s">
        <v>116</v>
      </c>
      <c r="F2606" t="s">
        <v>117</v>
      </c>
      <c r="H2606" t="s">
        <v>697</v>
      </c>
      <c r="I2606" t="str">
        <f>"101570001097010"</f>
        <v>101570001097010</v>
      </c>
      <c r="J2606" t="str">
        <f>"128423"</f>
        <v>128423</v>
      </c>
      <c r="K2606" t="s">
        <v>698</v>
      </c>
      <c r="L2606">
        <v>49</v>
      </c>
      <c r="M2606">
        <v>49</v>
      </c>
      <c r="N2606">
        <v>0</v>
      </c>
      <c r="O2606" s="1">
        <v>45582.362708333334</v>
      </c>
      <c r="P2606" t="s">
        <v>122</v>
      </c>
    </row>
    <row r="2607" spans="1:16" x14ac:dyDescent="0.3">
      <c r="A2607" t="s">
        <v>25</v>
      </c>
      <c r="B2607" s="1">
        <v>45582.362696759257</v>
      </c>
      <c r="C2607" t="str">
        <f>"41"</f>
        <v>41</v>
      </c>
      <c r="D2607" t="s">
        <v>120</v>
      </c>
      <c r="E2607" t="s">
        <v>116</v>
      </c>
      <c r="F2607" t="s">
        <v>117</v>
      </c>
      <c r="H2607" t="s">
        <v>697</v>
      </c>
      <c r="I2607" t="str">
        <f>"101570001097009"</f>
        <v>101570001097009</v>
      </c>
      <c r="J2607" t="str">
        <f>"128423"</f>
        <v>128423</v>
      </c>
      <c r="K2607" t="s">
        <v>698</v>
      </c>
      <c r="L2607">
        <v>49</v>
      </c>
      <c r="M2607">
        <v>49</v>
      </c>
      <c r="N2607">
        <v>0</v>
      </c>
      <c r="O2607" s="1">
        <v>45582.362696759257</v>
      </c>
      <c r="P2607" t="s">
        <v>122</v>
      </c>
    </row>
    <row r="2608" spans="1:16" x14ac:dyDescent="0.3">
      <c r="A2608" t="s">
        <v>25</v>
      </c>
      <c r="B2608" s="1">
        <v>45582.362696759257</v>
      </c>
      <c r="C2608" t="str">
        <f>"41"</f>
        <v>41</v>
      </c>
      <c r="D2608" t="s">
        <v>120</v>
      </c>
      <c r="E2608" t="s">
        <v>116</v>
      </c>
      <c r="F2608" t="s">
        <v>117</v>
      </c>
      <c r="H2608" t="s">
        <v>697</v>
      </c>
      <c r="I2608" t="str">
        <f>"101570001097013"</f>
        <v>101570001097013</v>
      </c>
      <c r="J2608" t="str">
        <f>"128423"</f>
        <v>128423</v>
      </c>
      <c r="K2608" t="s">
        <v>698</v>
      </c>
      <c r="L2608">
        <v>49</v>
      </c>
      <c r="M2608">
        <v>49</v>
      </c>
      <c r="N2608">
        <v>0</v>
      </c>
      <c r="O2608" s="1">
        <v>45582.362696759257</v>
      </c>
      <c r="P2608" t="s">
        <v>122</v>
      </c>
    </row>
    <row r="2609" spans="1:16" x14ac:dyDescent="0.3">
      <c r="A2609" t="s">
        <v>25</v>
      </c>
      <c r="B2609" s="1">
        <v>45582.361296296294</v>
      </c>
      <c r="C2609" t="str">
        <f>"38"</f>
        <v>38</v>
      </c>
      <c r="D2609" t="s">
        <v>115</v>
      </c>
      <c r="E2609" t="s">
        <v>116</v>
      </c>
      <c r="F2609" t="s">
        <v>117</v>
      </c>
      <c r="H2609" t="s">
        <v>699</v>
      </c>
      <c r="L2609">
        <v>0</v>
      </c>
      <c r="M2609">
        <v>0</v>
      </c>
      <c r="N2609">
        <v>0</v>
      </c>
      <c r="O2609" s="1">
        <v>45582.361296296294</v>
      </c>
      <c r="P2609" t="s">
        <v>122</v>
      </c>
    </row>
    <row r="2610" spans="1:16" x14ac:dyDescent="0.3">
      <c r="A2610" t="s">
        <v>25</v>
      </c>
      <c r="B2610" s="1">
        <v>45582.361296296294</v>
      </c>
      <c r="C2610" t="str">
        <f>"41"</f>
        <v>41</v>
      </c>
      <c r="D2610" t="s">
        <v>120</v>
      </c>
      <c r="E2610" t="s">
        <v>116</v>
      </c>
      <c r="F2610" t="s">
        <v>117</v>
      </c>
      <c r="H2610" t="s">
        <v>699</v>
      </c>
      <c r="I2610" t="str">
        <f>"101050001989492"</f>
        <v>101050001989492</v>
      </c>
      <c r="J2610" t="str">
        <f>"124239"</f>
        <v>124239</v>
      </c>
      <c r="K2610" t="s">
        <v>32</v>
      </c>
      <c r="L2610">
        <v>91</v>
      </c>
      <c r="M2610">
        <v>91</v>
      </c>
      <c r="N2610">
        <v>0</v>
      </c>
      <c r="O2610" s="1">
        <v>45582.361296296294</v>
      </c>
      <c r="P2610" t="s">
        <v>122</v>
      </c>
    </row>
    <row r="2611" spans="1:16" x14ac:dyDescent="0.3">
      <c r="A2611" t="s">
        <v>25</v>
      </c>
      <c r="B2611" s="1">
        <v>45582.360995370371</v>
      </c>
      <c r="C2611" t="str">
        <f>"38"</f>
        <v>38</v>
      </c>
      <c r="D2611" t="s">
        <v>115</v>
      </c>
      <c r="E2611" t="s">
        <v>116</v>
      </c>
      <c r="F2611" t="s">
        <v>117</v>
      </c>
      <c r="H2611" t="s">
        <v>700</v>
      </c>
      <c r="L2611">
        <v>0</v>
      </c>
      <c r="M2611">
        <v>0</v>
      </c>
      <c r="N2611">
        <v>0</v>
      </c>
      <c r="O2611" s="1">
        <v>45582.360995370371</v>
      </c>
      <c r="P2611" t="s">
        <v>125</v>
      </c>
    </row>
    <row r="2612" spans="1:16" x14ac:dyDescent="0.3">
      <c r="A2612" t="s">
        <v>25</v>
      </c>
      <c r="B2612" s="1">
        <v>45582.360995370371</v>
      </c>
      <c r="C2612" t="str">
        <f>"41"</f>
        <v>41</v>
      </c>
      <c r="D2612" t="s">
        <v>120</v>
      </c>
      <c r="E2612" t="s">
        <v>116</v>
      </c>
      <c r="F2612" t="s">
        <v>117</v>
      </c>
      <c r="H2612" t="s">
        <v>700</v>
      </c>
      <c r="I2612" t="str">
        <f>"101050002024118"</f>
        <v>101050002024118</v>
      </c>
      <c r="J2612" t="str">
        <f>"514865"</f>
        <v>514865</v>
      </c>
      <c r="K2612" t="s">
        <v>92</v>
      </c>
      <c r="L2612">
        <v>49</v>
      </c>
      <c r="M2612">
        <v>49</v>
      </c>
      <c r="N2612">
        <v>0</v>
      </c>
      <c r="O2612" s="1">
        <v>45582.360995370371</v>
      </c>
      <c r="P2612" t="s">
        <v>125</v>
      </c>
    </row>
    <row r="2613" spans="1:16" x14ac:dyDescent="0.3">
      <c r="A2613" t="s">
        <v>25</v>
      </c>
      <c r="B2613" s="1">
        <v>45582.360729166663</v>
      </c>
      <c r="C2613" t="str">
        <f>"38"</f>
        <v>38</v>
      </c>
      <c r="D2613" t="s">
        <v>115</v>
      </c>
      <c r="E2613" t="s">
        <v>116</v>
      </c>
      <c r="F2613" t="s">
        <v>117</v>
      </c>
      <c r="H2613" t="s">
        <v>701</v>
      </c>
      <c r="L2613">
        <v>0</v>
      </c>
      <c r="M2613">
        <v>0</v>
      </c>
      <c r="N2613">
        <v>0</v>
      </c>
      <c r="O2613" s="1">
        <v>45582.360729166663</v>
      </c>
      <c r="P2613" t="s">
        <v>125</v>
      </c>
    </row>
    <row r="2614" spans="1:16" x14ac:dyDescent="0.3">
      <c r="A2614" t="s">
        <v>25</v>
      </c>
      <c r="B2614" s="1">
        <v>45582.360729166663</v>
      </c>
      <c r="C2614" t="str">
        <f>"41"</f>
        <v>41</v>
      </c>
      <c r="D2614" t="s">
        <v>120</v>
      </c>
      <c r="E2614" t="s">
        <v>116</v>
      </c>
      <c r="F2614" t="s">
        <v>117</v>
      </c>
      <c r="H2614" t="s">
        <v>701</v>
      </c>
      <c r="I2614" t="str">
        <f>"101050002014780"</f>
        <v>101050002014780</v>
      </c>
      <c r="J2614" t="str">
        <f>"31090"</f>
        <v>31090</v>
      </c>
      <c r="K2614" t="s">
        <v>76</v>
      </c>
      <c r="L2614">
        <v>49</v>
      </c>
      <c r="M2614">
        <v>49</v>
      </c>
      <c r="N2614">
        <v>0</v>
      </c>
      <c r="O2614" s="1">
        <v>45582.360729166663</v>
      </c>
      <c r="P2614" t="s">
        <v>125</v>
      </c>
    </row>
    <row r="2615" spans="1:16" x14ac:dyDescent="0.3">
      <c r="A2615" t="s">
        <v>25</v>
      </c>
      <c r="B2615" s="1">
        <v>45582.360127314816</v>
      </c>
      <c r="C2615" t="str">
        <f>"38"</f>
        <v>38</v>
      </c>
      <c r="D2615" t="s">
        <v>115</v>
      </c>
      <c r="E2615" t="s">
        <v>116</v>
      </c>
      <c r="F2615" t="s">
        <v>117</v>
      </c>
      <c r="H2615" t="s">
        <v>702</v>
      </c>
      <c r="L2615">
        <v>0</v>
      </c>
      <c r="M2615">
        <v>0</v>
      </c>
      <c r="N2615">
        <v>0</v>
      </c>
      <c r="O2615" s="1">
        <v>45582.360127314816</v>
      </c>
      <c r="P2615" t="s">
        <v>125</v>
      </c>
    </row>
    <row r="2616" spans="1:16" x14ac:dyDescent="0.3">
      <c r="A2616" t="s">
        <v>25</v>
      </c>
      <c r="B2616" s="1">
        <v>45582.360127314816</v>
      </c>
      <c r="C2616" t="str">
        <f>"41"</f>
        <v>41</v>
      </c>
      <c r="D2616" t="s">
        <v>120</v>
      </c>
      <c r="E2616" t="s">
        <v>116</v>
      </c>
      <c r="F2616" t="s">
        <v>117</v>
      </c>
      <c r="H2616" t="s">
        <v>702</v>
      </c>
      <c r="I2616" t="str">
        <f>"101570001112259"</f>
        <v>101570001112259</v>
      </c>
      <c r="J2616" t="str">
        <f>"48205"</f>
        <v>48205</v>
      </c>
      <c r="K2616" t="s">
        <v>20</v>
      </c>
      <c r="L2616">
        <v>49</v>
      </c>
      <c r="M2616">
        <v>49</v>
      </c>
      <c r="N2616">
        <v>0</v>
      </c>
      <c r="O2616" s="1">
        <v>45582.360127314816</v>
      </c>
      <c r="P2616" t="s">
        <v>125</v>
      </c>
    </row>
    <row r="2617" spans="1:16" x14ac:dyDescent="0.3">
      <c r="A2617" t="s">
        <v>25</v>
      </c>
      <c r="B2617" s="1">
        <v>45582.360127314816</v>
      </c>
      <c r="C2617" t="str">
        <f>"41"</f>
        <v>41</v>
      </c>
      <c r="D2617" t="s">
        <v>120</v>
      </c>
      <c r="E2617" t="s">
        <v>116</v>
      </c>
      <c r="F2617" t="s">
        <v>117</v>
      </c>
      <c r="H2617" t="s">
        <v>702</v>
      </c>
      <c r="I2617" t="str">
        <f>"101570001111800"</f>
        <v>101570001111800</v>
      </c>
      <c r="J2617" t="str">
        <f>"48205"</f>
        <v>48205</v>
      </c>
      <c r="K2617" t="s">
        <v>20</v>
      </c>
      <c r="L2617">
        <v>49</v>
      </c>
      <c r="M2617">
        <v>49</v>
      </c>
      <c r="N2617">
        <v>0</v>
      </c>
      <c r="O2617" s="1">
        <v>45582.360127314816</v>
      </c>
      <c r="P2617" t="s">
        <v>125</v>
      </c>
    </row>
    <row r="2618" spans="1:16" x14ac:dyDescent="0.3">
      <c r="A2618" t="s">
        <v>25</v>
      </c>
      <c r="B2618" s="1">
        <v>45582.36246527778</v>
      </c>
      <c r="C2618" t="str">
        <f>"38"</f>
        <v>38</v>
      </c>
      <c r="D2618" t="s">
        <v>115</v>
      </c>
      <c r="E2618" t="s">
        <v>116</v>
      </c>
      <c r="F2618" t="s">
        <v>117</v>
      </c>
      <c r="H2618" t="s">
        <v>703</v>
      </c>
      <c r="L2618">
        <v>0</v>
      </c>
      <c r="M2618">
        <v>0</v>
      </c>
      <c r="N2618">
        <v>0</v>
      </c>
      <c r="O2618" s="1">
        <v>45582.36246527778</v>
      </c>
      <c r="P2618" t="s">
        <v>138</v>
      </c>
    </row>
    <row r="2619" spans="1:16" x14ac:dyDescent="0.3">
      <c r="A2619" t="s">
        <v>25</v>
      </c>
      <c r="B2619" s="1">
        <v>45582.36246527778</v>
      </c>
      <c r="C2619" t="str">
        <f t="shared" ref="C2619:C2625" si="499">"41"</f>
        <v>41</v>
      </c>
      <c r="D2619" t="s">
        <v>120</v>
      </c>
      <c r="E2619" t="s">
        <v>116</v>
      </c>
      <c r="F2619" t="s">
        <v>117</v>
      </c>
      <c r="H2619" t="s">
        <v>703</v>
      </c>
      <c r="I2619" t="str">
        <f>"101050002018950"</f>
        <v>101050002018950</v>
      </c>
      <c r="J2619" t="str">
        <f t="shared" ref="J2619:J2625" si="500">"128377"</f>
        <v>128377</v>
      </c>
      <c r="K2619" t="s">
        <v>68</v>
      </c>
      <c r="L2619">
        <v>49</v>
      </c>
      <c r="M2619">
        <v>49</v>
      </c>
      <c r="N2619">
        <v>0</v>
      </c>
      <c r="O2619" s="1">
        <v>45582.36246527778</v>
      </c>
      <c r="P2619" t="s">
        <v>138</v>
      </c>
    </row>
    <row r="2620" spans="1:16" x14ac:dyDescent="0.3">
      <c r="A2620" t="s">
        <v>25</v>
      </c>
      <c r="B2620" s="1">
        <v>45582.36246527778</v>
      </c>
      <c r="C2620" t="str">
        <f t="shared" si="499"/>
        <v>41</v>
      </c>
      <c r="D2620" t="s">
        <v>120</v>
      </c>
      <c r="E2620" t="s">
        <v>116</v>
      </c>
      <c r="F2620" t="s">
        <v>117</v>
      </c>
      <c r="H2620" t="s">
        <v>703</v>
      </c>
      <c r="I2620" t="str">
        <f>"101050002018495"</f>
        <v>101050002018495</v>
      </c>
      <c r="J2620" t="str">
        <f t="shared" si="500"/>
        <v>128377</v>
      </c>
      <c r="K2620" t="s">
        <v>68</v>
      </c>
      <c r="L2620">
        <v>49</v>
      </c>
      <c r="M2620">
        <v>49</v>
      </c>
      <c r="N2620">
        <v>0</v>
      </c>
      <c r="O2620" s="1">
        <v>45582.36246527778</v>
      </c>
      <c r="P2620" t="s">
        <v>138</v>
      </c>
    </row>
    <row r="2621" spans="1:16" x14ac:dyDescent="0.3">
      <c r="A2621" t="s">
        <v>25</v>
      </c>
      <c r="B2621" s="1">
        <v>45582.36246527778</v>
      </c>
      <c r="C2621" t="str">
        <f t="shared" si="499"/>
        <v>41</v>
      </c>
      <c r="D2621" t="s">
        <v>120</v>
      </c>
      <c r="E2621" t="s">
        <v>116</v>
      </c>
      <c r="F2621" t="s">
        <v>117</v>
      </c>
      <c r="H2621" t="s">
        <v>703</v>
      </c>
      <c r="I2621" t="str">
        <f>"101050002018368"</f>
        <v>101050002018368</v>
      </c>
      <c r="J2621" t="str">
        <f t="shared" si="500"/>
        <v>128377</v>
      </c>
      <c r="K2621" t="s">
        <v>68</v>
      </c>
      <c r="L2621">
        <v>49</v>
      </c>
      <c r="M2621">
        <v>49</v>
      </c>
      <c r="N2621">
        <v>0</v>
      </c>
      <c r="O2621" s="1">
        <v>45582.36246527778</v>
      </c>
      <c r="P2621" t="s">
        <v>138</v>
      </c>
    </row>
    <row r="2622" spans="1:16" x14ac:dyDescent="0.3">
      <c r="A2622" t="s">
        <v>25</v>
      </c>
      <c r="B2622" s="1">
        <v>45582.36246527778</v>
      </c>
      <c r="C2622" t="str">
        <f t="shared" si="499"/>
        <v>41</v>
      </c>
      <c r="D2622" t="s">
        <v>120</v>
      </c>
      <c r="E2622" t="s">
        <v>116</v>
      </c>
      <c r="F2622" t="s">
        <v>117</v>
      </c>
      <c r="H2622" t="s">
        <v>703</v>
      </c>
      <c r="I2622" t="str">
        <f>"101050002018616"</f>
        <v>101050002018616</v>
      </c>
      <c r="J2622" t="str">
        <f t="shared" si="500"/>
        <v>128377</v>
      </c>
      <c r="K2622" t="s">
        <v>68</v>
      </c>
      <c r="L2622">
        <v>49</v>
      </c>
      <c r="M2622">
        <v>49</v>
      </c>
      <c r="N2622">
        <v>0</v>
      </c>
      <c r="O2622" s="1">
        <v>45582.36246527778</v>
      </c>
      <c r="P2622" t="s">
        <v>138</v>
      </c>
    </row>
    <row r="2623" spans="1:16" x14ac:dyDescent="0.3">
      <c r="A2623" t="s">
        <v>25</v>
      </c>
      <c r="B2623" s="1">
        <v>45582.36246527778</v>
      </c>
      <c r="C2623" t="str">
        <f t="shared" si="499"/>
        <v>41</v>
      </c>
      <c r="D2623" t="s">
        <v>120</v>
      </c>
      <c r="E2623" t="s">
        <v>116</v>
      </c>
      <c r="F2623" t="s">
        <v>117</v>
      </c>
      <c r="H2623" t="s">
        <v>703</v>
      </c>
      <c r="I2623" t="str">
        <f>"101050002018952"</f>
        <v>101050002018952</v>
      </c>
      <c r="J2623" t="str">
        <f t="shared" si="500"/>
        <v>128377</v>
      </c>
      <c r="K2623" t="s">
        <v>68</v>
      </c>
      <c r="L2623">
        <v>49</v>
      </c>
      <c r="M2623">
        <v>49</v>
      </c>
      <c r="N2623">
        <v>0</v>
      </c>
      <c r="O2623" s="1">
        <v>45582.36246527778</v>
      </c>
      <c r="P2623" t="s">
        <v>138</v>
      </c>
    </row>
    <row r="2624" spans="1:16" x14ac:dyDescent="0.3">
      <c r="A2624" t="s">
        <v>25</v>
      </c>
      <c r="B2624" s="1">
        <v>45582.36246527778</v>
      </c>
      <c r="C2624" t="str">
        <f t="shared" si="499"/>
        <v>41</v>
      </c>
      <c r="D2624" t="s">
        <v>120</v>
      </c>
      <c r="E2624" t="s">
        <v>116</v>
      </c>
      <c r="F2624" t="s">
        <v>117</v>
      </c>
      <c r="H2624" t="s">
        <v>703</v>
      </c>
      <c r="I2624" t="str">
        <f>"101050002018953"</f>
        <v>101050002018953</v>
      </c>
      <c r="J2624" t="str">
        <f t="shared" si="500"/>
        <v>128377</v>
      </c>
      <c r="K2624" t="s">
        <v>68</v>
      </c>
      <c r="L2624">
        <v>49</v>
      </c>
      <c r="M2624">
        <v>49</v>
      </c>
      <c r="N2624">
        <v>0</v>
      </c>
      <c r="O2624" s="1">
        <v>45582.36246527778</v>
      </c>
      <c r="P2624" t="s">
        <v>138</v>
      </c>
    </row>
    <row r="2625" spans="1:16" x14ac:dyDescent="0.3">
      <c r="A2625" t="s">
        <v>25</v>
      </c>
      <c r="B2625" s="1">
        <v>45582.36246527778</v>
      </c>
      <c r="C2625" t="str">
        <f t="shared" si="499"/>
        <v>41</v>
      </c>
      <c r="D2625" t="s">
        <v>120</v>
      </c>
      <c r="E2625" t="s">
        <v>116</v>
      </c>
      <c r="F2625" t="s">
        <v>117</v>
      </c>
      <c r="H2625" t="s">
        <v>703</v>
      </c>
      <c r="I2625" t="str">
        <f>"101050002018754"</f>
        <v>101050002018754</v>
      </c>
      <c r="J2625" t="str">
        <f t="shared" si="500"/>
        <v>128377</v>
      </c>
      <c r="K2625" t="s">
        <v>68</v>
      </c>
      <c r="L2625">
        <v>49</v>
      </c>
      <c r="M2625">
        <v>49</v>
      </c>
      <c r="N2625">
        <v>0</v>
      </c>
      <c r="O2625" s="1">
        <v>45582.36246527778</v>
      </c>
      <c r="P2625" t="s">
        <v>138</v>
      </c>
    </row>
    <row r="2626" spans="1:16" x14ac:dyDescent="0.3">
      <c r="A2626" t="s">
        <v>25</v>
      </c>
      <c r="B2626" s="1">
        <v>45582.361296296294</v>
      </c>
      <c r="C2626" t="str">
        <f>"38"</f>
        <v>38</v>
      </c>
      <c r="D2626" t="s">
        <v>115</v>
      </c>
      <c r="E2626" t="s">
        <v>116</v>
      </c>
      <c r="F2626" t="s">
        <v>117</v>
      </c>
      <c r="H2626" t="s">
        <v>554</v>
      </c>
      <c r="L2626">
        <v>0</v>
      </c>
      <c r="M2626">
        <v>0</v>
      </c>
      <c r="N2626">
        <v>0</v>
      </c>
      <c r="O2626" s="1">
        <v>45582.361296296294</v>
      </c>
      <c r="P2626" t="s">
        <v>132</v>
      </c>
    </row>
    <row r="2627" spans="1:16" x14ac:dyDescent="0.3">
      <c r="A2627" t="s">
        <v>25</v>
      </c>
      <c r="B2627" s="1">
        <v>45582.361296296294</v>
      </c>
      <c r="C2627" t="str">
        <f t="shared" ref="C2627:C2633" si="501">"41"</f>
        <v>41</v>
      </c>
      <c r="D2627" t="s">
        <v>120</v>
      </c>
      <c r="E2627" t="s">
        <v>116</v>
      </c>
      <c r="F2627" t="s">
        <v>117</v>
      </c>
      <c r="H2627" t="s">
        <v>554</v>
      </c>
      <c r="I2627" t="str">
        <f>"101620000468160"</f>
        <v>101620000468160</v>
      </c>
      <c r="J2627" t="str">
        <f t="shared" ref="J2627:J2633" si="502">"514867"</f>
        <v>514867</v>
      </c>
      <c r="K2627" t="s">
        <v>16</v>
      </c>
      <c r="L2627">
        <v>49</v>
      </c>
      <c r="M2627">
        <v>49</v>
      </c>
      <c r="N2627">
        <v>0</v>
      </c>
      <c r="O2627" s="1">
        <v>45582.361296296294</v>
      </c>
      <c r="P2627" t="s">
        <v>132</v>
      </c>
    </row>
    <row r="2628" spans="1:16" x14ac:dyDescent="0.3">
      <c r="A2628" t="s">
        <v>25</v>
      </c>
      <c r="B2628" s="1">
        <v>45582.361284722225</v>
      </c>
      <c r="C2628" t="str">
        <f t="shared" si="501"/>
        <v>41</v>
      </c>
      <c r="D2628" t="s">
        <v>120</v>
      </c>
      <c r="E2628" t="s">
        <v>116</v>
      </c>
      <c r="F2628" t="s">
        <v>117</v>
      </c>
      <c r="H2628" t="s">
        <v>554</v>
      </c>
      <c r="I2628" t="str">
        <f>"101620000468159"</f>
        <v>101620000468159</v>
      </c>
      <c r="J2628" t="str">
        <f t="shared" si="502"/>
        <v>514867</v>
      </c>
      <c r="K2628" t="s">
        <v>16</v>
      </c>
      <c r="L2628">
        <v>49</v>
      </c>
      <c r="M2628">
        <v>49</v>
      </c>
      <c r="N2628">
        <v>0</v>
      </c>
      <c r="O2628" s="1">
        <v>45582.361284722225</v>
      </c>
      <c r="P2628" t="s">
        <v>132</v>
      </c>
    </row>
    <row r="2629" spans="1:16" x14ac:dyDescent="0.3">
      <c r="A2629" t="s">
        <v>25</v>
      </c>
      <c r="B2629" s="1">
        <v>45582.361284722225</v>
      </c>
      <c r="C2629" t="str">
        <f t="shared" si="501"/>
        <v>41</v>
      </c>
      <c r="D2629" t="s">
        <v>120</v>
      </c>
      <c r="E2629" t="s">
        <v>116</v>
      </c>
      <c r="F2629" t="s">
        <v>117</v>
      </c>
      <c r="H2629" t="s">
        <v>554</v>
      </c>
      <c r="I2629" t="str">
        <f>"101620000468161"</f>
        <v>101620000468161</v>
      </c>
      <c r="J2629" t="str">
        <f t="shared" si="502"/>
        <v>514867</v>
      </c>
      <c r="K2629" t="s">
        <v>16</v>
      </c>
      <c r="L2629">
        <v>49</v>
      </c>
      <c r="M2629">
        <v>49</v>
      </c>
      <c r="N2629">
        <v>0</v>
      </c>
      <c r="O2629" s="1">
        <v>45582.361284722225</v>
      </c>
      <c r="P2629" t="s">
        <v>132</v>
      </c>
    </row>
    <row r="2630" spans="1:16" x14ac:dyDescent="0.3">
      <c r="A2630" t="s">
        <v>25</v>
      </c>
      <c r="B2630" s="1">
        <v>45582.361284722225</v>
      </c>
      <c r="C2630" t="str">
        <f t="shared" si="501"/>
        <v>41</v>
      </c>
      <c r="D2630" t="s">
        <v>120</v>
      </c>
      <c r="E2630" t="s">
        <v>116</v>
      </c>
      <c r="F2630" t="s">
        <v>117</v>
      </c>
      <c r="H2630" t="s">
        <v>554</v>
      </c>
      <c r="I2630" t="str">
        <f>"101620000466893"</f>
        <v>101620000466893</v>
      </c>
      <c r="J2630" t="str">
        <f t="shared" si="502"/>
        <v>514867</v>
      </c>
      <c r="K2630" t="s">
        <v>16</v>
      </c>
      <c r="L2630">
        <v>49</v>
      </c>
      <c r="M2630">
        <v>49</v>
      </c>
      <c r="N2630">
        <v>0</v>
      </c>
      <c r="O2630" s="1">
        <v>45582.361284722225</v>
      </c>
      <c r="P2630" t="s">
        <v>132</v>
      </c>
    </row>
    <row r="2631" spans="1:16" x14ac:dyDescent="0.3">
      <c r="A2631" t="s">
        <v>25</v>
      </c>
      <c r="B2631" s="1">
        <v>45582.361284722225</v>
      </c>
      <c r="C2631" t="str">
        <f t="shared" si="501"/>
        <v>41</v>
      </c>
      <c r="D2631" t="s">
        <v>120</v>
      </c>
      <c r="E2631" t="s">
        <v>116</v>
      </c>
      <c r="F2631" t="s">
        <v>117</v>
      </c>
      <c r="H2631" t="s">
        <v>554</v>
      </c>
      <c r="I2631" t="str">
        <f>"101620000468165"</f>
        <v>101620000468165</v>
      </c>
      <c r="J2631" t="str">
        <f t="shared" si="502"/>
        <v>514867</v>
      </c>
      <c r="K2631" t="s">
        <v>16</v>
      </c>
      <c r="L2631">
        <v>49</v>
      </c>
      <c r="M2631">
        <v>49</v>
      </c>
      <c r="N2631">
        <v>0</v>
      </c>
      <c r="O2631" s="1">
        <v>45582.361284722225</v>
      </c>
      <c r="P2631" t="s">
        <v>132</v>
      </c>
    </row>
    <row r="2632" spans="1:16" x14ac:dyDescent="0.3">
      <c r="A2632" t="s">
        <v>25</v>
      </c>
      <c r="B2632" s="1">
        <v>45582.361284722225</v>
      </c>
      <c r="C2632" t="str">
        <f t="shared" si="501"/>
        <v>41</v>
      </c>
      <c r="D2632" t="s">
        <v>120</v>
      </c>
      <c r="E2632" t="s">
        <v>116</v>
      </c>
      <c r="F2632" t="s">
        <v>117</v>
      </c>
      <c r="H2632" t="s">
        <v>554</v>
      </c>
      <c r="I2632" t="str">
        <f>"101620000466894"</f>
        <v>101620000466894</v>
      </c>
      <c r="J2632" t="str">
        <f t="shared" si="502"/>
        <v>514867</v>
      </c>
      <c r="K2632" t="s">
        <v>16</v>
      </c>
      <c r="L2632">
        <v>49</v>
      </c>
      <c r="M2632">
        <v>49</v>
      </c>
      <c r="N2632">
        <v>0</v>
      </c>
      <c r="O2632" s="1">
        <v>45582.361284722225</v>
      </c>
      <c r="P2632" t="s">
        <v>132</v>
      </c>
    </row>
    <row r="2633" spans="1:16" x14ac:dyDescent="0.3">
      <c r="A2633" t="s">
        <v>25</v>
      </c>
      <c r="B2633" s="1">
        <v>45582.361284722225</v>
      </c>
      <c r="C2633" t="str">
        <f t="shared" si="501"/>
        <v>41</v>
      </c>
      <c r="D2633" t="s">
        <v>120</v>
      </c>
      <c r="E2633" t="s">
        <v>116</v>
      </c>
      <c r="F2633" t="s">
        <v>117</v>
      </c>
      <c r="H2633" t="s">
        <v>554</v>
      </c>
      <c r="I2633" t="str">
        <f>"101620000466886"</f>
        <v>101620000466886</v>
      </c>
      <c r="J2633" t="str">
        <f t="shared" si="502"/>
        <v>514867</v>
      </c>
      <c r="K2633" t="s">
        <v>16</v>
      </c>
      <c r="L2633">
        <v>49</v>
      </c>
      <c r="M2633">
        <v>49</v>
      </c>
      <c r="N2633">
        <v>0</v>
      </c>
      <c r="O2633" s="1">
        <v>45582.361284722225</v>
      </c>
      <c r="P2633" t="s">
        <v>132</v>
      </c>
    </row>
    <row r="2634" spans="1:16" x14ac:dyDescent="0.3">
      <c r="A2634" t="s">
        <v>25</v>
      </c>
      <c r="B2634" s="1">
        <v>45582.360509259262</v>
      </c>
      <c r="C2634" t="str">
        <f>"38"</f>
        <v>38</v>
      </c>
      <c r="D2634" t="s">
        <v>115</v>
      </c>
      <c r="E2634" t="s">
        <v>116</v>
      </c>
      <c r="F2634" t="s">
        <v>117</v>
      </c>
      <c r="H2634" t="s">
        <v>704</v>
      </c>
      <c r="L2634">
        <v>0</v>
      </c>
      <c r="M2634">
        <v>0</v>
      </c>
      <c r="N2634">
        <v>0</v>
      </c>
      <c r="O2634" s="1">
        <v>45582.360509259262</v>
      </c>
      <c r="P2634" t="s">
        <v>119</v>
      </c>
    </row>
    <row r="2635" spans="1:16" x14ac:dyDescent="0.3">
      <c r="A2635" t="s">
        <v>25</v>
      </c>
      <c r="B2635" s="1">
        <v>45582.360509259262</v>
      </c>
      <c r="C2635" t="str">
        <f>"41"</f>
        <v>41</v>
      </c>
      <c r="D2635" t="s">
        <v>120</v>
      </c>
      <c r="E2635" t="s">
        <v>116</v>
      </c>
      <c r="F2635" t="s">
        <v>117</v>
      </c>
      <c r="H2635" t="s">
        <v>704</v>
      </c>
      <c r="I2635" t="str">
        <f>"101050002017601"</f>
        <v>101050002017601</v>
      </c>
      <c r="J2635" t="str">
        <f>"124835"</f>
        <v>124835</v>
      </c>
      <c r="K2635" t="s">
        <v>32</v>
      </c>
      <c r="L2635">
        <v>91</v>
      </c>
      <c r="M2635">
        <v>91</v>
      </c>
      <c r="N2635">
        <v>0</v>
      </c>
      <c r="O2635" s="1">
        <v>45582.360509259262</v>
      </c>
      <c r="P2635" t="s">
        <v>119</v>
      </c>
    </row>
    <row r="2636" spans="1:16" x14ac:dyDescent="0.3">
      <c r="A2636" t="s">
        <v>25</v>
      </c>
      <c r="B2636" s="1">
        <v>45582.360150462962</v>
      </c>
      <c r="C2636" t="str">
        <f>"38"</f>
        <v>38</v>
      </c>
      <c r="D2636" t="s">
        <v>115</v>
      </c>
      <c r="E2636" t="s">
        <v>116</v>
      </c>
      <c r="F2636" t="s">
        <v>117</v>
      </c>
      <c r="H2636" t="s">
        <v>705</v>
      </c>
      <c r="L2636">
        <v>0</v>
      </c>
      <c r="M2636">
        <v>0</v>
      </c>
      <c r="N2636">
        <v>0</v>
      </c>
      <c r="O2636" s="1">
        <v>45582.360150462962</v>
      </c>
      <c r="P2636" t="s">
        <v>119</v>
      </c>
    </row>
    <row r="2637" spans="1:16" x14ac:dyDescent="0.3">
      <c r="A2637" t="s">
        <v>25</v>
      </c>
      <c r="B2637" s="1">
        <v>45582.360150462962</v>
      </c>
      <c r="C2637" t="str">
        <f>"41"</f>
        <v>41</v>
      </c>
      <c r="D2637" t="s">
        <v>120</v>
      </c>
      <c r="E2637" t="s">
        <v>116</v>
      </c>
      <c r="F2637" t="s">
        <v>117</v>
      </c>
      <c r="H2637" t="s">
        <v>705</v>
      </c>
      <c r="I2637" t="str">
        <f>"101050002023788"</f>
        <v>101050002023788</v>
      </c>
      <c r="J2637" t="str">
        <f>"124824"</f>
        <v>124824</v>
      </c>
      <c r="K2637" t="s">
        <v>37</v>
      </c>
      <c r="L2637">
        <v>49</v>
      </c>
      <c r="M2637">
        <v>49</v>
      </c>
      <c r="N2637">
        <v>0</v>
      </c>
      <c r="O2637" s="1">
        <v>45582.360150462962</v>
      </c>
      <c r="P2637" t="s">
        <v>119</v>
      </c>
    </row>
    <row r="2638" spans="1:16" x14ac:dyDescent="0.3">
      <c r="A2638" t="s">
        <v>25</v>
      </c>
      <c r="B2638" s="1">
        <v>45582.360150462962</v>
      </c>
      <c r="C2638" t="str">
        <f>"41"</f>
        <v>41</v>
      </c>
      <c r="D2638" t="s">
        <v>120</v>
      </c>
      <c r="E2638" t="s">
        <v>116</v>
      </c>
      <c r="F2638" t="s">
        <v>117</v>
      </c>
      <c r="H2638" t="s">
        <v>705</v>
      </c>
      <c r="I2638" t="str">
        <f>"101050002023786"</f>
        <v>101050002023786</v>
      </c>
      <c r="J2638" t="str">
        <f>"124824"</f>
        <v>124824</v>
      </c>
      <c r="K2638" t="s">
        <v>37</v>
      </c>
      <c r="L2638">
        <v>49</v>
      </c>
      <c r="M2638">
        <v>49</v>
      </c>
      <c r="N2638">
        <v>0</v>
      </c>
      <c r="O2638" s="1">
        <v>45582.360150462962</v>
      </c>
      <c r="P2638" t="s">
        <v>119</v>
      </c>
    </row>
    <row r="2639" spans="1:16" x14ac:dyDescent="0.3">
      <c r="A2639" t="s">
        <v>25</v>
      </c>
      <c r="B2639" s="1">
        <v>45582.360150462962</v>
      </c>
      <c r="C2639" t="str">
        <f>"41"</f>
        <v>41</v>
      </c>
      <c r="D2639" t="s">
        <v>120</v>
      </c>
      <c r="E2639" t="s">
        <v>116</v>
      </c>
      <c r="F2639" t="s">
        <v>117</v>
      </c>
      <c r="H2639" t="s">
        <v>705</v>
      </c>
      <c r="I2639" t="str">
        <f>"101050002023789"</f>
        <v>101050002023789</v>
      </c>
      <c r="J2639" t="str">
        <f>"124824"</f>
        <v>124824</v>
      </c>
      <c r="K2639" t="s">
        <v>37</v>
      </c>
      <c r="L2639">
        <v>49</v>
      </c>
      <c r="M2639">
        <v>49</v>
      </c>
      <c r="N2639">
        <v>0</v>
      </c>
      <c r="O2639" s="1">
        <v>45582.360150462962</v>
      </c>
      <c r="P2639" t="s">
        <v>119</v>
      </c>
    </row>
    <row r="2640" spans="1:16" x14ac:dyDescent="0.3">
      <c r="A2640" t="s">
        <v>25</v>
      </c>
      <c r="B2640" s="1">
        <v>45582.360150462962</v>
      </c>
      <c r="C2640" t="str">
        <f>"41"</f>
        <v>41</v>
      </c>
      <c r="D2640" t="s">
        <v>120</v>
      </c>
      <c r="E2640" t="s">
        <v>116</v>
      </c>
      <c r="F2640" t="s">
        <v>117</v>
      </c>
      <c r="H2640" t="s">
        <v>705</v>
      </c>
      <c r="I2640" t="str">
        <f>"101050002023787"</f>
        <v>101050002023787</v>
      </c>
      <c r="J2640" t="str">
        <f>"124824"</f>
        <v>124824</v>
      </c>
      <c r="K2640" t="s">
        <v>37</v>
      </c>
      <c r="L2640">
        <v>49</v>
      </c>
      <c r="M2640">
        <v>49</v>
      </c>
      <c r="N2640">
        <v>0</v>
      </c>
      <c r="O2640" s="1">
        <v>45582.360150462962</v>
      </c>
      <c r="P2640" t="s">
        <v>119</v>
      </c>
    </row>
    <row r="2641" spans="1:16" x14ac:dyDescent="0.3">
      <c r="A2641" t="s">
        <v>25</v>
      </c>
      <c r="B2641" s="1">
        <v>45582.360150462962</v>
      </c>
      <c r="C2641" t="str">
        <f>"41"</f>
        <v>41</v>
      </c>
      <c r="D2641" t="s">
        <v>120</v>
      </c>
      <c r="E2641" t="s">
        <v>116</v>
      </c>
      <c r="F2641" t="s">
        <v>117</v>
      </c>
      <c r="H2641" t="s">
        <v>705</v>
      </c>
      <c r="I2641" t="str">
        <f>"101050002023810"</f>
        <v>101050002023810</v>
      </c>
      <c r="J2641" t="str">
        <f>"124824"</f>
        <v>124824</v>
      </c>
      <c r="K2641" t="s">
        <v>37</v>
      </c>
      <c r="L2641">
        <v>49</v>
      </c>
      <c r="M2641">
        <v>49</v>
      </c>
      <c r="N2641">
        <v>0</v>
      </c>
      <c r="O2641" s="1">
        <v>45582.360150462962</v>
      </c>
      <c r="P2641" t="s">
        <v>119</v>
      </c>
    </row>
    <row r="2642" spans="1:16" x14ac:dyDescent="0.3">
      <c r="A2642" t="s">
        <v>25</v>
      </c>
      <c r="B2642" s="1">
        <v>45582.359513888892</v>
      </c>
      <c r="C2642" t="str">
        <f>"38"</f>
        <v>38</v>
      </c>
      <c r="D2642" t="s">
        <v>115</v>
      </c>
      <c r="E2642" t="s">
        <v>116</v>
      </c>
      <c r="F2642" t="s">
        <v>117</v>
      </c>
      <c r="H2642" t="s">
        <v>706</v>
      </c>
      <c r="L2642">
        <v>0</v>
      </c>
      <c r="M2642">
        <v>0</v>
      </c>
      <c r="N2642">
        <v>0</v>
      </c>
      <c r="O2642" s="1">
        <v>45582.359513888892</v>
      </c>
      <c r="P2642" t="s">
        <v>125</v>
      </c>
    </row>
    <row r="2643" spans="1:16" x14ac:dyDescent="0.3">
      <c r="A2643" t="s">
        <v>25</v>
      </c>
      <c r="B2643" s="1">
        <v>45582.359513888892</v>
      </c>
      <c r="C2643" t="str">
        <f t="shared" ref="C2643:C2649" si="503">"41"</f>
        <v>41</v>
      </c>
      <c r="D2643" t="s">
        <v>120</v>
      </c>
      <c r="E2643" t="s">
        <v>116</v>
      </c>
      <c r="F2643" t="s">
        <v>117</v>
      </c>
      <c r="H2643" t="s">
        <v>706</v>
      </c>
      <c r="I2643" t="str">
        <f>"101050002025039"</f>
        <v>101050002025039</v>
      </c>
      <c r="J2643" t="str">
        <f t="shared" ref="J2643:J2649" si="504">"127924"</f>
        <v>127924</v>
      </c>
      <c r="K2643" t="s">
        <v>3</v>
      </c>
      <c r="L2643">
        <v>49</v>
      </c>
      <c r="M2643">
        <v>49</v>
      </c>
      <c r="N2643">
        <v>0</v>
      </c>
      <c r="O2643" s="1">
        <v>45582.359513888892</v>
      </c>
      <c r="P2643" t="s">
        <v>125</v>
      </c>
    </row>
    <row r="2644" spans="1:16" x14ac:dyDescent="0.3">
      <c r="A2644" t="s">
        <v>25</v>
      </c>
      <c r="B2644" s="1">
        <v>45582.359513888892</v>
      </c>
      <c r="C2644" t="str">
        <f t="shared" si="503"/>
        <v>41</v>
      </c>
      <c r="D2644" t="s">
        <v>120</v>
      </c>
      <c r="E2644" t="s">
        <v>116</v>
      </c>
      <c r="F2644" t="s">
        <v>117</v>
      </c>
      <c r="H2644" t="s">
        <v>706</v>
      </c>
      <c r="I2644" t="str">
        <f>"101050002024214"</f>
        <v>101050002024214</v>
      </c>
      <c r="J2644" t="str">
        <f t="shared" si="504"/>
        <v>127924</v>
      </c>
      <c r="K2644" t="s">
        <v>3</v>
      </c>
      <c r="L2644">
        <v>49</v>
      </c>
      <c r="M2644">
        <v>49</v>
      </c>
      <c r="N2644">
        <v>0</v>
      </c>
      <c r="O2644" s="1">
        <v>45582.359513888892</v>
      </c>
      <c r="P2644" t="s">
        <v>125</v>
      </c>
    </row>
    <row r="2645" spans="1:16" x14ac:dyDescent="0.3">
      <c r="A2645" t="s">
        <v>25</v>
      </c>
      <c r="B2645" s="1">
        <v>45582.359513888892</v>
      </c>
      <c r="C2645" t="str">
        <f t="shared" si="503"/>
        <v>41</v>
      </c>
      <c r="D2645" t="s">
        <v>120</v>
      </c>
      <c r="E2645" t="s">
        <v>116</v>
      </c>
      <c r="F2645" t="s">
        <v>117</v>
      </c>
      <c r="H2645" t="s">
        <v>706</v>
      </c>
      <c r="I2645" t="str">
        <f>"101050002019301"</f>
        <v>101050002019301</v>
      </c>
      <c r="J2645" t="str">
        <f t="shared" si="504"/>
        <v>127924</v>
      </c>
      <c r="K2645" t="s">
        <v>3</v>
      </c>
      <c r="L2645">
        <v>49</v>
      </c>
      <c r="M2645">
        <v>49</v>
      </c>
      <c r="N2645">
        <v>0</v>
      </c>
      <c r="O2645" s="1">
        <v>45582.359513888892</v>
      </c>
      <c r="P2645" t="s">
        <v>125</v>
      </c>
    </row>
    <row r="2646" spans="1:16" x14ac:dyDescent="0.3">
      <c r="A2646" t="s">
        <v>25</v>
      </c>
      <c r="B2646" s="1">
        <v>45582.359502314815</v>
      </c>
      <c r="C2646" t="str">
        <f t="shared" si="503"/>
        <v>41</v>
      </c>
      <c r="D2646" t="s">
        <v>120</v>
      </c>
      <c r="E2646" t="s">
        <v>116</v>
      </c>
      <c r="F2646" t="s">
        <v>117</v>
      </c>
      <c r="H2646" t="s">
        <v>706</v>
      </c>
      <c r="I2646" t="str">
        <f>"101050002019165"</f>
        <v>101050002019165</v>
      </c>
      <c r="J2646" t="str">
        <f t="shared" si="504"/>
        <v>127924</v>
      </c>
      <c r="K2646" t="s">
        <v>3</v>
      </c>
      <c r="L2646">
        <v>49</v>
      </c>
      <c r="M2646">
        <v>49</v>
      </c>
      <c r="N2646">
        <v>0</v>
      </c>
      <c r="O2646" s="1">
        <v>45582.359502314815</v>
      </c>
      <c r="P2646" t="s">
        <v>125</v>
      </c>
    </row>
    <row r="2647" spans="1:16" x14ac:dyDescent="0.3">
      <c r="A2647" t="s">
        <v>25</v>
      </c>
      <c r="B2647" s="1">
        <v>45582.359502314815</v>
      </c>
      <c r="C2647" t="str">
        <f t="shared" si="503"/>
        <v>41</v>
      </c>
      <c r="D2647" t="s">
        <v>120</v>
      </c>
      <c r="E2647" t="s">
        <v>116</v>
      </c>
      <c r="F2647" t="s">
        <v>117</v>
      </c>
      <c r="H2647" t="s">
        <v>706</v>
      </c>
      <c r="I2647" t="str">
        <f>"101050002019813"</f>
        <v>101050002019813</v>
      </c>
      <c r="J2647" t="str">
        <f t="shared" si="504"/>
        <v>127924</v>
      </c>
      <c r="K2647" t="s">
        <v>3</v>
      </c>
      <c r="L2647">
        <v>49</v>
      </c>
      <c r="M2647">
        <v>49</v>
      </c>
      <c r="N2647">
        <v>0</v>
      </c>
      <c r="O2647" s="1">
        <v>45582.359502314815</v>
      </c>
      <c r="P2647" t="s">
        <v>125</v>
      </c>
    </row>
    <row r="2648" spans="1:16" x14ac:dyDescent="0.3">
      <c r="A2648" t="s">
        <v>25</v>
      </c>
      <c r="B2648" s="1">
        <v>45582.359502314815</v>
      </c>
      <c r="C2648" t="str">
        <f t="shared" si="503"/>
        <v>41</v>
      </c>
      <c r="D2648" t="s">
        <v>120</v>
      </c>
      <c r="E2648" t="s">
        <v>116</v>
      </c>
      <c r="F2648" t="s">
        <v>117</v>
      </c>
      <c r="H2648" t="s">
        <v>706</v>
      </c>
      <c r="I2648" t="str">
        <f>"101050002019384"</f>
        <v>101050002019384</v>
      </c>
      <c r="J2648" t="str">
        <f t="shared" si="504"/>
        <v>127924</v>
      </c>
      <c r="K2648" t="s">
        <v>3</v>
      </c>
      <c r="L2648">
        <v>49</v>
      </c>
      <c r="M2648">
        <v>49</v>
      </c>
      <c r="N2648">
        <v>0</v>
      </c>
      <c r="O2648" s="1">
        <v>45582.359502314815</v>
      </c>
      <c r="P2648" t="s">
        <v>125</v>
      </c>
    </row>
    <row r="2649" spans="1:16" x14ac:dyDescent="0.3">
      <c r="A2649" t="s">
        <v>25</v>
      </c>
      <c r="B2649" s="1">
        <v>45582.359502314815</v>
      </c>
      <c r="C2649" t="str">
        <f t="shared" si="503"/>
        <v>41</v>
      </c>
      <c r="D2649" t="s">
        <v>120</v>
      </c>
      <c r="E2649" t="s">
        <v>116</v>
      </c>
      <c r="F2649" t="s">
        <v>117</v>
      </c>
      <c r="H2649" t="s">
        <v>706</v>
      </c>
      <c r="I2649" t="str">
        <f>"101050002019032"</f>
        <v>101050002019032</v>
      </c>
      <c r="J2649" t="str">
        <f t="shared" si="504"/>
        <v>127924</v>
      </c>
      <c r="K2649" t="s">
        <v>3</v>
      </c>
      <c r="L2649">
        <v>49</v>
      </c>
      <c r="M2649">
        <v>49</v>
      </c>
      <c r="N2649">
        <v>0</v>
      </c>
      <c r="O2649" s="1">
        <v>45582.359502314815</v>
      </c>
      <c r="P2649" t="s">
        <v>125</v>
      </c>
    </row>
    <row r="2650" spans="1:16" x14ac:dyDescent="0.3">
      <c r="A2650" t="s">
        <v>25</v>
      </c>
      <c r="B2650" s="1">
        <v>45582.359351851854</v>
      </c>
      <c r="C2650" t="str">
        <f>"38"</f>
        <v>38</v>
      </c>
      <c r="D2650" t="s">
        <v>115</v>
      </c>
      <c r="E2650" t="s">
        <v>116</v>
      </c>
      <c r="F2650" t="s">
        <v>117</v>
      </c>
      <c r="H2650" t="s">
        <v>707</v>
      </c>
      <c r="L2650">
        <v>0</v>
      </c>
      <c r="M2650">
        <v>0</v>
      </c>
      <c r="N2650">
        <v>0</v>
      </c>
      <c r="O2650" s="1">
        <v>45582.359351851854</v>
      </c>
      <c r="P2650" t="s">
        <v>138</v>
      </c>
    </row>
    <row r="2651" spans="1:16" x14ac:dyDescent="0.3">
      <c r="A2651" t="s">
        <v>25</v>
      </c>
      <c r="B2651" s="1">
        <v>45582.359351851854</v>
      </c>
      <c r="C2651" t="str">
        <f>"41"</f>
        <v>41</v>
      </c>
      <c r="D2651" t="s">
        <v>120</v>
      </c>
      <c r="E2651" t="s">
        <v>116</v>
      </c>
      <c r="F2651" t="s">
        <v>117</v>
      </c>
      <c r="H2651" t="s">
        <v>707</v>
      </c>
      <c r="I2651" t="str">
        <f>"101050002015587"</f>
        <v>101050002015587</v>
      </c>
      <c r="J2651" t="str">
        <f>"6011"</f>
        <v>6011</v>
      </c>
      <c r="K2651" t="s">
        <v>97</v>
      </c>
      <c r="L2651">
        <v>49</v>
      </c>
      <c r="M2651">
        <v>49</v>
      </c>
      <c r="N2651">
        <v>0</v>
      </c>
      <c r="O2651" s="1">
        <v>45582.359351851854</v>
      </c>
      <c r="P2651" t="s">
        <v>138</v>
      </c>
    </row>
    <row r="2652" spans="1:16" x14ac:dyDescent="0.3">
      <c r="A2652" t="s">
        <v>25</v>
      </c>
      <c r="B2652" s="1">
        <v>45582.359351851854</v>
      </c>
      <c r="C2652" t="str">
        <f>"41"</f>
        <v>41</v>
      </c>
      <c r="D2652" t="s">
        <v>120</v>
      </c>
      <c r="E2652" t="s">
        <v>116</v>
      </c>
      <c r="F2652" t="s">
        <v>117</v>
      </c>
      <c r="H2652" t="s">
        <v>707</v>
      </c>
      <c r="I2652" t="str">
        <f>"101050002015748"</f>
        <v>101050002015748</v>
      </c>
      <c r="J2652" t="str">
        <f>"6011"</f>
        <v>6011</v>
      </c>
      <c r="K2652" t="s">
        <v>97</v>
      </c>
      <c r="L2652">
        <v>49</v>
      </c>
      <c r="M2652">
        <v>49</v>
      </c>
      <c r="N2652">
        <v>0</v>
      </c>
      <c r="O2652" s="1">
        <v>45582.359351851854</v>
      </c>
      <c r="P2652" t="s">
        <v>138</v>
      </c>
    </row>
    <row r="2653" spans="1:16" x14ac:dyDescent="0.3">
      <c r="A2653" t="s">
        <v>25</v>
      </c>
      <c r="B2653" s="1">
        <v>45582.359351851854</v>
      </c>
      <c r="C2653" t="str">
        <f>"41"</f>
        <v>41</v>
      </c>
      <c r="D2653" t="s">
        <v>120</v>
      </c>
      <c r="E2653" t="s">
        <v>116</v>
      </c>
      <c r="F2653" t="s">
        <v>117</v>
      </c>
      <c r="H2653" t="s">
        <v>707</v>
      </c>
      <c r="I2653" t="str">
        <f>"101050002015638"</f>
        <v>101050002015638</v>
      </c>
      <c r="J2653" t="str">
        <f>"6011"</f>
        <v>6011</v>
      </c>
      <c r="K2653" t="s">
        <v>97</v>
      </c>
      <c r="L2653">
        <v>49</v>
      </c>
      <c r="M2653">
        <v>49</v>
      </c>
      <c r="N2653">
        <v>0</v>
      </c>
      <c r="O2653" s="1">
        <v>45582.359351851854</v>
      </c>
      <c r="P2653" t="s">
        <v>138</v>
      </c>
    </row>
    <row r="2654" spans="1:16" x14ac:dyDescent="0.3">
      <c r="A2654" t="s">
        <v>25</v>
      </c>
      <c r="B2654" s="1">
        <v>45582.358541666668</v>
      </c>
      <c r="C2654" t="str">
        <f>"38"</f>
        <v>38</v>
      </c>
      <c r="D2654" t="s">
        <v>115</v>
      </c>
      <c r="E2654" t="s">
        <v>116</v>
      </c>
      <c r="F2654" t="s">
        <v>117</v>
      </c>
      <c r="H2654" t="s">
        <v>708</v>
      </c>
      <c r="L2654">
        <v>0</v>
      </c>
      <c r="M2654">
        <v>0</v>
      </c>
      <c r="N2654">
        <v>0</v>
      </c>
      <c r="O2654" s="1">
        <v>45582.358541666668</v>
      </c>
      <c r="P2654" t="s">
        <v>122</v>
      </c>
    </row>
    <row r="2655" spans="1:16" x14ac:dyDescent="0.3">
      <c r="A2655" t="s">
        <v>25</v>
      </c>
      <c r="B2655" s="1">
        <v>45582.358541666668</v>
      </c>
      <c r="C2655" t="str">
        <f>"41"</f>
        <v>41</v>
      </c>
      <c r="D2655" t="s">
        <v>120</v>
      </c>
      <c r="E2655" t="s">
        <v>116</v>
      </c>
      <c r="F2655" t="s">
        <v>117</v>
      </c>
      <c r="H2655" t="s">
        <v>708</v>
      </c>
      <c r="I2655" t="str">
        <f>"101050001974613"</f>
        <v>101050001974613</v>
      </c>
      <c r="J2655" t="str">
        <f>"126483"</f>
        <v>126483</v>
      </c>
      <c r="K2655" t="s">
        <v>48</v>
      </c>
      <c r="L2655">
        <v>49</v>
      </c>
      <c r="M2655">
        <v>49</v>
      </c>
      <c r="N2655">
        <v>0</v>
      </c>
      <c r="O2655" s="1">
        <v>45582.358541666668</v>
      </c>
      <c r="P2655" t="s">
        <v>122</v>
      </c>
    </row>
    <row r="2656" spans="1:16" x14ac:dyDescent="0.3">
      <c r="A2656" t="s">
        <v>25</v>
      </c>
      <c r="B2656" s="1">
        <v>45582.357662037037</v>
      </c>
      <c r="C2656" t="str">
        <f>"38"</f>
        <v>38</v>
      </c>
      <c r="D2656" t="s">
        <v>115</v>
      </c>
      <c r="E2656" t="s">
        <v>116</v>
      </c>
      <c r="F2656" t="s">
        <v>117</v>
      </c>
      <c r="H2656" t="s">
        <v>709</v>
      </c>
      <c r="L2656">
        <v>0</v>
      </c>
      <c r="M2656">
        <v>0</v>
      </c>
      <c r="N2656">
        <v>0</v>
      </c>
      <c r="O2656" s="1">
        <v>45582.357662037037</v>
      </c>
      <c r="P2656" t="s">
        <v>122</v>
      </c>
    </row>
    <row r="2657" spans="1:16" x14ac:dyDescent="0.3">
      <c r="A2657" t="s">
        <v>25</v>
      </c>
      <c r="B2657" s="1">
        <v>45582.357662037037</v>
      </c>
      <c r="C2657" t="str">
        <f>"41"</f>
        <v>41</v>
      </c>
      <c r="D2657" t="s">
        <v>120</v>
      </c>
      <c r="E2657" t="s">
        <v>116</v>
      </c>
      <c r="F2657" t="s">
        <v>117</v>
      </c>
      <c r="H2657" t="s">
        <v>709</v>
      </c>
      <c r="I2657" t="str">
        <f>"101050002017354"</f>
        <v>101050002017354</v>
      </c>
      <c r="J2657" t="str">
        <f>"514866"</f>
        <v>514866</v>
      </c>
      <c r="K2657" t="s">
        <v>14</v>
      </c>
      <c r="L2657">
        <v>49</v>
      </c>
      <c r="M2657">
        <v>49</v>
      </c>
      <c r="N2657">
        <v>0</v>
      </c>
      <c r="O2657" s="1">
        <v>45582.357662037037</v>
      </c>
      <c r="P2657" t="s">
        <v>122</v>
      </c>
    </row>
    <row r="2658" spans="1:16" x14ac:dyDescent="0.3">
      <c r="A2658" t="s">
        <v>25</v>
      </c>
      <c r="B2658" s="1">
        <v>45582.357662037037</v>
      </c>
      <c r="C2658" t="str">
        <f>"41"</f>
        <v>41</v>
      </c>
      <c r="D2658" t="s">
        <v>120</v>
      </c>
      <c r="E2658" t="s">
        <v>116</v>
      </c>
      <c r="F2658" t="s">
        <v>117</v>
      </c>
      <c r="H2658" t="s">
        <v>709</v>
      </c>
      <c r="I2658" t="str">
        <f>"101050002017282"</f>
        <v>101050002017282</v>
      </c>
      <c r="J2658" t="str">
        <f>"514866"</f>
        <v>514866</v>
      </c>
      <c r="K2658" t="s">
        <v>14</v>
      </c>
      <c r="L2658">
        <v>49</v>
      </c>
      <c r="M2658">
        <v>49</v>
      </c>
      <c r="N2658">
        <v>0</v>
      </c>
      <c r="O2658" s="1">
        <v>45582.357662037037</v>
      </c>
      <c r="P2658" t="s">
        <v>122</v>
      </c>
    </row>
    <row r="2659" spans="1:16" x14ac:dyDescent="0.3">
      <c r="A2659" t="s">
        <v>25</v>
      </c>
      <c r="B2659" s="1">
        <v>45582.357662037037</v>
      </c>
      <c r="C2659" t="str">
        <f>"41"</f>
        <v>41</v>
      </c>
      <c r="D2659" t="s">
        <v>120</v>
      </c>
      <c r="E2659" t="s">
        <v>116</v>
      </c>
      <c r="F2659" t="s">
        <v>117</v>
      </c>
      <c r="H2659" t="s">
        <v>709</v>
      </c>
      <c r="I2659" t="str">
        <f>"101620000457963"</f>
        <v>101620000457963</v>
      </c>
      <c r="J2659" t="str">
        <f>"514866"</f>
        <v>514866</v>
      </c>
      <c r="K2659" t="s">
        <v>14</v>
      </c>
      <c r="L2659">
        <v>49</v>
      </c>
      <c r="M2659">
        <v>49</v>
      </c>
      <c r="N2659">
        <v>0</v>
      </c>
      <c r="O2659" s="1">
        <v>45582.357662037037</v>
      </c>
      <c r="P2659" t="s">
        <v>122</v>
      </c>
    </row>
    <row r="2660" spans="1:16" x14ac:dyDescent="0.3">
      <c r="A2660" t="s">
        <v>25</v>
      </c>
      <c r="B2660" s="1">
        <v>45582.357662037037</v>
      </c>
      <c r="C2660" t="str">
        <f>"41"</f>
        <v>41</v>
      </c>
      <c r="D2660" t="s">
        <v>120</v>
      </c>
      <c r="E2660" t="s">
        <v>116</v>
      </c>
      <c r="F2660" t="s">
        <v>117</v>
      </c>
      <c r="H2660" t="s">
        <v>709</v>
      </c>
      <c r="I2660" t="str">
        <f>"101620000457958"</f>
        <v>101620000457958</v>
      </c>
      <c r="J2660" t="str">
        <f>"514866"</f>
        <v>514866</v>
      </c>
      <c r="K2660" t="s">
        <v>14</v>
      </c>
      <c r="L2660">
        <v>49</v>
      </c>
      <c r="M2660">
        <v>49</v>
      </c>
      <c r="N2660">
        <v>0</v>
      </c>
      <c r="O2660" s="1">
        <v>45582.357662037037</v>
      </c>
      <c r="P2660" t="s">
        <v>122</v>
      </c>
    </row>
    <row r="2661" spans="1:16" x14ac:dyDescent="0.3">
      <c r="A2661" t="s">
        <v>25</v>
      </c>
      <c r="B2661" s="1">
        <v>45582.357662037037</v>
      </c>
      <c r="C2661" t="str">
        <f>"41"</f>
        <v>41</v>
      </c>
      <c r="D2661" t="s">
        <v>120</v>
      </c>
      <c r="E2661" t="s">
        <v>116</v>
      </c>
      <c r="F2661" t="s">
        <v>117</v>
      </c>
      <c r="H2661" t="s">
        <v>709</v>
      </c>
      <c r="I2661" t="str">
        <f>"101620000446598"</f>
        <v>101620000446598</v>
      </c>
      <c r="J2661" t="str">
        <f>"514866"</f>
        <v>514866</v>
      </c>
      <c r="K2661" t="s">
        <v>14</v>
      </c>
      <c r="L2661">
        <v>49</v>
      </c>
      <c r="M2661">
        <v>49</v>
      </c>
      <c r="N2661">
        <v>0</v>
      </c>
      <c r="O2661" s="1">
        <v>45582.357662037037</v>
      </c>
      <c r="P2661" t="s">
        <v>122</v>
      </c>
    </row>
    <row r="2662" spans="1:16" x14ac:dyDescent="0.3">
      <c r="A2662" t="s">
        <v>25</v>
      </c>
      <c r="B2662" s="1">
        <v>45582.357673611114</v>
      </c>
      <c r="C2662" t="str">
        <f>"38"</f>
        <v>38</v>
      </c>
      <c r="D2662" t="s">
        <v>115</v>
      </c>
      <c r="E2662" t="s">
        <v>116</v>
      </c>
      <c r="F2662" t="s">
        <v>117</v>
      </c>
      <c r="H2662" t="s">
        <v>710</v>
      </c>
      <c r="L2662">
        <v>0</v>
      </c>
      <c r="M2662">
        <v>0</v>
      </c>
      <c r="N2662">
        <v>0</v>
      </c>
      <c r="O2662" s="1">
        <v>45582.357673611114</v>
      </c>
      <c r="P2662" t="s">
        <v>119</v>
      </c>
    </row>
    <row r="2663" spans="1:16" x14ac:dyDescent="0.3">
      <c r="A2663" t="s">
        <v>25</v>
      </c>
      <c r="B2663" s="1">
        <v>45582.357673611114</v>
      </c>
      <c r="C2663" t="str">
        <f t="shared" ref="C2663:C2669" si="505">"41"</f>
        <v>41</v>
      </c>
      <c r="D2663" t="s">
        <v>120</v>
      </c>
      <c r="E2663" t="s">
        <v>116</v>
      </c>
      <c r="F2663" t="s">
        <v>117</v>
      </c>
      <c r="H2663" t="s">
        <v>710</v>
      </c>
      <c r="I2663" t="str">
        <f>"101050002025405"</f>
        <v>101050002025405</v>
      </c>
      <c r="J2663" t="str">
        <f t="shared" ref="J2663:J2669" si="506">"514866"</f>
        <v>514866</v>
      </c>
      <c r="K2663" t="s">
        <v>14</v>
      </c>
      <c r="L2663">
        <v>49</v>
      </c>
      <c r="M2663">
        <v>49</v>
      </c>
      <c r="N2663">
        <v>0</v>
      </c>
      <c r="O2663" s="1">
        <v>45582.357673611114</v>
      </c>
      <c r="P2663" t="s">
        <v>119</v>
      </c>
    </row>
    <row r="2664" spans="1:16" x14ac:dyDescent="0.3">
      <c r="A2664" t="s">
        <v>25</v>
      </c>
      <c r="B2664" s="1">
        <v>45582.357673611114</v>
      </c>
      <c r="C2664" t="str">
        <f t="shared" si="505"/>
        <v>41</v>
      </c>
      <c r="D2664" t="s">
        <v>120</v>
      </c>
      <c r="E2664" t="s">
        <v>116</v>
      </c>
      <c r="F2664" t="s">
        <v>117</v>
      </c>
      <c r="H2664" t="s">
        <v>710</v>
      </c>
      <c r="I2664" t="str">
        <f>"101050002025307"</f>
        <v>101050002025307</v>
      </c>
      <c r="J2664" t="str">
        <f t="shared" si="506"/>
        <v>514866</v>
      </c>
      <c r="K2664" t="s">
        <v>14</v>
      </c>
      <c r="L2664">
        <v>49</v>
      </c>
      <c r="M2664">
        <v>49</v>
      </c>
      <c r="N2664">
        <v>0</v>
      </c>
      <c r="O2664" s="1">
        <v>45582.357673611114</v>
      </c>
      <c r="P2664" t="s">
        <v>119</v>
      </c>
    </row>
    <row r="2665" spans="1:16" x14ac:dyDescent="0.3">
      <c r="A2665" t="s">
        <v>25</v>
      </c>
      <c r="B2665" s="1">
        <v>45582.357673611114</v>
      </c>
      <c r="C2665" t="str">
        <f t="shared" si="505"/>
        <v>41</v>
      </c>
      <c r="D2665" t="s">
        <v>120</v>
      </c>
      <c r="E2665" t="s">
        <v>116</v>
      </c>
      <c r="F2665" t="s">
        <v>117</v>
      </c>
      <c r="H2665" t="s">
        <v>710</v>
      </c>
      <c r="I2665" t="str">
        <f>"101050002025146"</f>
        <v>101050002025146</v>
      </c>
      <c r="J2665" t="str">
        <f t="shared" si="506"/>
        <v>514866</v>
      </c>
      <c r="K2665" t="s">
        <v>14</v>
      </c>
      <c r="L2665">
        <v>49</v>
      </c>
      <c r="M2665">
        <v>49</v>
      </c>
      <c r="N2665">
        <v>0</v>
      </c>
      <c r="O2665" s="1">
        <v>45582.357673611114</v>
      </c>
      <c r="P2665" t="s">
        <v>119</v>
      </c>
    </row>
    <row r="2666" spans="1:16" x14ac:dyDescent="0.3">
      <c r="A2666" t="s">
        <v>25</v>
      </c>
      <c r="B2666" s="1">
        <v>45582.357673611114</v>
      </c>
      <c r="C2666" t="str">
        <f t="shared" si="505"/>
        <v>41</v>
      </c>
      <c r="D2666" t="s">
        <v>120</v>
      </c>
      <c r="E2666" t="s">
        <v>116</v>
      </c>
      <c r="F2666" t="s">
        <v>117</v>
      </c>
      <c r="H2666" t="s">
        <v>710</v>
      </c>
      <c r="I2666" t="str">
        <f>"101050002025306"</f>
        <v>101050002025306</v>
      </c>
      <c r="J2666" t="str">
        <f t="shared" si="506"/>
        <v>514866</v>
      </c>
      <c r="K2666" t="s">
        <v>14</v>
      </c>
      <c r="L2666">
        <v>49</v>
      </c>
      <c r="M2666">
        <v>49</v>
      </c>
      <c r="N2666">
        <v>0</v>
      </c>
      <c r="O2666" s="1">
        <v>45582.357673611114</v>
      </c>
      <c r="P2666" t="s">
        <v>119</v>
      </c>
    </row>
    <row r="2667" spans="1:16" x14ac:dyDescent="0.3">
      <c r="A2667" t="s">
        <v>25</v>
      </c>
      <c r="B2667" s="1">
        <v>45582.357673611114</v>
      </c>
      <c r="C2667" t="str">
        <f t="shared" si="505"/>
        <v>41</v>
      </c>
      <c r="D2667" t="s">
        <v>120</v>
      </c>
      <c r="E2667" t="s">
        <v>116</v>
      </c>
      <c r="F2667" t="s">
        <v>117</v>
      </c>
      <c r="H2667" t="s">
        <v>710</v>
      </c>
      <c r="I2667" t="str">
        <f>"101050002025305"</f>
        <v>101050002025305</v>
      </c>
      <c r="J2667" t="str">
        <f t="shared" si="506"/>
        <v>514866</v>
      </c>
      <c r="K2667" t="s">
        <v>14</v>
      </c>
      <c r="L2667">
        <v>49</v>
      </c>
      <c r="M2667">
        <v>49</v>
      </c>
      <c r="N2667">
        <v>0</v>
      </c>
      <c r="O2667" s="1">
        <v>45582.357673611114</v>
      </c>
      <c r="P2667" t="s">
        <v>119</v>
      </c>
    </row>
    <row r="2668" spans="1:16" x14ac:dyDescent="0.3">
      <c r="A2668" t="s">
        <v>25</v>
      </c>
      <c r="B2668" s="1">
        <v>45582.357673611114</v>
      </c>
      <c r="C2668" t="str">
        <f t="shared" si="505"/>
        <v>41</v>
      </c>
      <c r="D2668" t="s">
        <v>120</v>
      </c>
      <c r="E2668" t="s">
        <v>116</v>
      </c>
      <c r="F2668" t="s">
        <v>117</v>
      </c>
      <c r="H2668" t="s">
        <v>710</v>
      </c>
      <c r="I2668" t="str">
        <f>"101050002017293"</f>
        <v>101050002017293</v>
      </c>
      <c r="J2668" t="str">
        <f t="shared" si="506"/>
        <v>514866</v>
      </c>
      <c r="K2668" t="s">
        <v>14</v>
      </c>
      <c r="L2668">
        <v>49</v>
      </c>
      <c r="M2668">
        <v>49</v>
      </c>
      <c r="N2668">
        <v>0</v>
      </c>
      <c r="O2668" s="1">
        <v>45582.357673611114</v>
      </c>
      <c r="P2668" t="s">
        <v>119</v>
      </c>
    </row>
    <row r="2669" spans="1:16" x14ac:dyDescent="0.3">
      <c r="A2669" t="s">
        <v>25</v>
      </c>
      <c r="B2669" s="1">
        <v>45582.357673611114</v>
      </c>
      <c r="C2669" t="str">
        <f t="shared" si="505"/>
        <v>41</v>
      </c>
      <c r="D2669" t="s">
        <v>120</v>
      </c>
      <c r="E2669" t="s">
        <v>116</v>
      </c>
      <c r="F2669" t="s">
        <v>117</v>
      </c>
      <c r="H2669" t="s">
        <v>710</v>
      </c>
      <c r="I2669" t="str">
        <f>"101050002017280"</f>
        <v>101050002017280</v>
      </c>
      <c r="J2669" t="str">
        <f t="shared" si="506"/>
        <v>514866</v>
      </c>
      <c r="K2669" t="s">
        <v>14</v>
      </c>
      <c r="L2669">
        <v>49</v>
      </c>
      <c r="M2669">
        <v>49</v>
      </c>
      <c r="N2669">
        <v>0</v>
      </c>
      <c r="O2669" s="1">
        <v>45582.357673611114</v>
      </c>
      <c r="P2669" t="s">
        <v>119</v>
      </c>
    </row>
    <row r="2670" spans="1:16" x14ac:dyDescent="0.3">
      <c r="A2670" t="s">
        <v>25</v>
      </c>
      <c r="B2670" s="1">
        <v>45582.357210648152</v>
      </c>
      <c r="C2670" t="str">
        <f>"38"</f>
        <v>38</v>
      </c>
      <c r="D2670" t="s">
        <v>115</v>
      </c>
      <c r="E2670" t="s">
        <v>116</v>
      </c>
      <c r="F2670" t="s">
        <v>117</v>
      </c>
      <c r="H2670" t="s">
        <v>711</v>
      </c>
      <c r="L2670">
        <v>0</v>
      </c>
      <c r="M2670">
        <v>0</v>
      </c>
      <c r="N2670">
        <v>0</v>
      </c>
      <c r="O2670" s="1">
        <v>45582.357210648152</v>
      </c>
      <c r="P2670" t="s">
        <v>125</v>
      </c>
    </row>
    <row r="2671" spans="1:16" x14ac:dyDescent="0.3">
      <c r="A2671" t="s">
        <v>25</v>
      </c>
      <c r="B2671" s="1">
        <v>45582.357210648152</v>
      </c>
      <c r="C2671" t="str">
        <f>"41"</f>
        <v>41</v>
      </c>
      <c r="D2671" t="s">
        <v>120</v>
      </c>
      <c r="E2671" t="s">
        <v>116</v>
      </c>
      <c r="F2671" t="s">
        <v>117</v>
      </c>
      <c r="H2671" t="s">
        <v>711</v>
      </c>
      <c r="I2671" t="str">
        <f>"101050002024175"</f>
        <v>101050002024175</v>
      </c>
      <c r="J2671" t="str">
        <f>"128501"</f>
        <v>128501</v>
      </c>
      <c r="K2671" t="s">
        <v>70</v>
      </c>
      <c r="L2671">
        <v>49</v>
      </c>
      <c r="M2671">
        <v>49</v>
      </c>
      <c r="N2671">
        <v>0</v>
      </c>
      <c r="O2671" s="1">
        <v>45582.357210648152</v>
      </c>
      <c r="P2671" t="s">
        <v>125</v>
      </c>
    </row>
    <row r="2672" spans="1:16" x14ac:dyDescent="0.3">
      <c r="A2672" t="s">
        <v>25</v>
      </c>
      <c r="B2672" s="1">
        <v>45582.356736111113</v>
      </c>
      <c r="C2672" t="str">
        <f>"38"</f>
        <v>38</v>
      </c>
      <c r="D2672" t="s">
        <v>115</v>
      </c>
      <c r="E2672" t="s">
        <v>116</v>
      </c>
      <c r="F2672" t="s">
        <v>117</v>
      </c>
      <c r="H2672" t="s">
        <v>712</v>
      </c>
      <c r="L2672">
        <v>0</v>
      </c>
      <c r="M2672">
        <v>0</v>
      </c>
      <c r="N2672">
        <v>0</v>
      </c>
      <c r="O2672" s="1">
        <v>45582.356736111113</v>
      </c>
      <c r="P2672" t="s">
        <v>125</v>
      </c>
    </row>
    <row r="2673" spans="1:16" x14ac:dyDescent="0.3">
      <c r="A2673" t="s">
        <v>25</v>
      </c>
      <c r="B2673" s="1">
        <v>45582.356736111113</v>
      </c>
      <c r="C2673" t="str">
        <f>"41"</f>
        <v>41</v>
      </c>
      <c r="D2673" t="s">
        <v>120</v>
      </c>
      <c r="E2673" t="s">
        <v>116</v>
      </c>
      <c r="F2673" t="s">
        <v>117</v>
      </c>
      <c r="H2673" t="s">
        <v>712</v>
      </c>
      <c r="I2673" t="str">
        <f>"101050001909686"</f>
        <v>101050001909686</v>
      </c>
      <c r="J2673" t="str">
        <f>"127308"</f>
        <v>127308</v>
      </c>
      <c r="K2673" t="s">
        <v>57</v>
      </c>
      <c r="L2673">
        <v>49</v>
      </c>
      <c r="M2673">
        <v>49</v>
      </c>
      <c r="N2673">
        <v>0</v>
      </c>
      <c r="O2673" s="1">
        <v>45582.356736111113</v>
      </c>
      <c r="P2673" t="s">
        <v>125</v>
      </c>
    </row>
    <row r="2674" spans="1:16" x14ac:dyDescent="0.3">
      <c r="A2674" t="s">
        <v>25</v>
      </c>
      <c r="B2674" s="1">
        <v>45582.356736111113</v>
      </c>
      <c r="C2674" t="str">
        <f>"41"</f>
        <v>41</v>
      </c>
      <c r="D2674" t="s">
        <v>120</v>
      </c>
      <c r="E2674" t="s">
        <v>116</v>
      </c>
      <c r="F2674" t="s">
        <v>117</v>
      </c>
      <c r="H2674" t="s">
        <v>712</v>
      </c>
      <c r="I2674" t="str">
        <f>"101050001910664"</f>
        <v>101050001910664</v>
      </c>
      <c r="J2674" t="str">
        <f>"127308"</f>
        <v>127308</v>
      </c>
      <c r="K2674" t="s">
        <v>57</v>
      </c>
      <c r="L2674">
        <v>49</v>
      </c>
      <c r="M2674">
        <v>49</v>
      </c>
      <c r="N2674">
        <v>0</v>
      </c>
      <c r="O2674" s="1">
        <v>45582.356736111113</v>
      </c>
      <c r="P2674" t="s">
        <v>125</v>
      </c>
    </row>
    <row r="2675" spans="1:16" x14ac:dyDescent="0.3">
      <c r="A2675" t="s">
        <v>25</v>
      </c>
      <c r="B2675" s="1">
        <v>45582.35633101852</v>
      </c>
      <c r="C2675" t="str">
        <f>"38"</f>
        <v>38</v>
      </c>
      <c r="D2675" t="s">
        <v>115</v>
      </c>
      <c r="E2675" t="s">
        <v>116</v>
      </c>
      <c r="F2675" t="s">
        <v>117</v>
      </c>
      <c r="H2675" t="s">
        <v>713</v>
      </c>
      <c r="L2675">
        <v>0</v>
      </c>
      <c r="M2675">
        <v>0</v>
      </c>
      <c r="N2675">
        <v>0</v>
      </c>
      <c r="O2675" s="1">
        <v>45582.35633101852</v>
      </c>
      <c r="P2675" t="s">
        <v>138</v>
      </c>
    </row>
    <row r="2676" spans="1:16" x14ac:dyDescent="0.3">
      <c r="A2676" t="s">
        <v>25</v>
      </c>
      <c r="B2676" s="1">
        <v>45582.35633101852</v>
      </c>
      <c r="C2676" t="str">
        <f>"40"</f>
        <v>40</v>
      </c>
      <c r="D2676" t="s">
        <v>220</v>
      </c>
      <c r="E2676" t="s">
        <v>116</v>
      </c>
      <c r="F2676" t="s">
        <v>117</v>
      </c>
      <c r="G2676" t="s">
        <v>221</v>
      </c>
      <c r="H2676" t="s">
        <v>713</v>
      </c>
      <c r="I2676" t="str">
        <f>"101570001110072"</f>
        <v>101570001110072</v>
      </c>
      <c r="J2676" t="str">
        <f>"9745"</f>
        <v>9745</v>
      </c>
      <c r="K2676" t="s">
        <v>98</v>
      </c>
      <c r="L2676">
        <v>49</v>
      </c>
      <c r="M2676">
        <v>0</v>
      </c>
      <c r="N2676">
        <v>-49</v>
      </c>
      <c r="O2676" s="1">
        <v>45582.35633101852</v>
      </c>
      <c r="P2676" t="s">
        <v>138</v>
      </c>
    </row>
    <row r="2677" spans="1:16" x14ac:dyDescent="0.3">
      <c r="A2677" t="s">
        <v>25</v>
      </c>
      <c r="B2677" s="1">
        <v>45582.35633101852</v>
      </c>
      <c r="C2677" t="str">
        <f>"41"</f>
        <v>41</v>
      </c>
      <c r="D2677" t="s">
        <v>120</v>
      </c>
      <c r="E2677" t="s">
        <v>116</v>
      </c>
      <c r="F2677" t="s">
        <v>117</v>
      </c>
      <c r="H2677" t="s">
        <v>713</v>
      </c>
      <c r="I2677" t="str">
        <f>"101570001110076"</f>
        <v>101570001110076</v>
      </c>
      <c r="J2677" t="str">
        <f>"9745"</f>
        <v>9745</v>
      </c>
      <c r="K2677" t="s">
        <v>98</v>
      </c>
      <c r="L2677">
        <v>49</v>
      </c>
      <c r="M2677">
        <v>49</v>
      </c>
      <c r="N2677">
        <v>0</v>
      </c>
      <c r="O2677" s="1">
        <v>45582.35633101852</v>
      </c>
      <c r="P2677" t="s">
        <v>138</v>
      </c>
    </row>
    <row r="2678" spans="1:16" x14ac:dyDescent="0.3">
      <c r="A2678" t="s">
        <v>25</v>
      </c>
      <c r="B2678" s="1">
        <v>45582.356319444443</v>
      </c>
      <c r="C2678" t="str">
        <f>"41"</f>
        <v>41</v>
      </c>
      <c r="D2678" t="s">
        <v>120</v>
      </c>
      <c r="E2678" t="s">
        <v>116</v>
      </c>
      <c r="F2678" t="s">
        <v>117</v>
      </c>
      <c r="H2678" t="s">
        <v>713</v>
      </c>
      <c r="I2678" t="str">
        <f>"101570001093570"</f>
        <v>101570001093570</v>
      </c>
      <c r="J2678" t="str">
        <f>"9745"</f>
        <v>9745</v>
      </c>
      <c r="K2678" t="s">
        <v>98</v>
      </c>
      <c r="L2678">
        <v>49</v>
      </c>
      <c r="M2678">
        <v>49</v>
      </c>
      <c r="N2678">
        <v>0</v>
      </c>
      <c r="O2678" s="1">
        <v>45582.356319444443</v>
      </c>
      <c r="P2678" t="s">
        <v>138</v>
      </c>
    </row>
    <row r="2679" spans="1:16" x14ac:dyDescent="0.3">
      <c r="A2679" t="s">
        <v>25</v>
      </c>
      <c r="B2679" s="1">
        <v>45582.358310185184</v>
      </c>
      <c r="C2679" t="str">
        <f>"38"</f>
        <v>38</v>
      </c>
      <c r="D2679" t="s">
        <v>115</v>
      </c>
      <c r="E2679" t="s">
        <v>116</v>
      </c>
      <c r="F2679" t="s">
        <v>117</v>
      </c>
      <c r="H2679" t="s">
        <v>579</v>
      </c>
      <c r="L2679">
        <v>0</v>
      </c>
      <c r="M2679">
        <v>0</v>
      </c>
      <c r="N2679">
        <v>0</v>
      </c>
      <c r="O2679" s="1">
        <v>45582.358310185184</v>
      </c>
      <c r="P2679" t="s">
        <v>132</v>
      </c>
    </row>
    <row r="2680" spans="1:16" x14ac:dyDescent="0.3">
      <c r="A2680" t="s">
        <v>25</v>
      </c>
      <c r="B2680" s="1">
        <v>45582.358310185184</v>
      </c>
      <c r="C2680" t="str">
        <f>"41"</f>
        <v>41</v>
      </c>
      <c r="D2680" t="s">
        <v>120</v>
      </c>
      <c r="E2680" t="s">
        <v>116</v>
      </c>
      <c r="F2680" t="s">
        <v>117</v>
      </c>
      <c r="H2680" t="s">
        <v>579</v>
      </c>
      <c r="I2680" t="str">
        <f>"101050002000202"</f>
        <v>101050002000202</v>
      </c>
      <c r="J2680" t="str">
        <f>"31088"</f>
        <v>31088</v>
      </c>
      <c r="K2680" t="s">
        <v>75</v>
      </c>
      <c r="L2680">
        <v>49</v>
      </c>
      <c r="M2680">
        <v>49</v>
      </c>
      <c r="N2680">
        <v>0</v>
      </c>
      <c r="O2680" s="1">
        <v>45582.358310185184</v>
      </c>
      <c r="P2680" t="s">
        <v>132</v>
      </c>
    </row>
    <row r="2681" spans="1:16" x14ac:dyDescent="0.3">
      <c r="A2681" t="s">
        <v>25</v>
      </c>
      <c r="B2681" s="1">
        <v>45582.358310185184</v>
      </c>
      <c r="C2681" t="str">
        <f>"41"</f>
        <v>41</v>
      </c>
      <c r="D2681" t="s">
        <v>120</v>
      </c>
      <c r="E2681" t="s">
        <v>116</v>
      </c>
      <c r="F2681" t="s">
        <v>117</v>
      </c>
      <c r="H2681" t="s">
        <v>579</v>
      </c>
      <c r="I2681" t="str">
        <f>"101050002000209"</f>
        <v>101050002000209</v>
      </c>
      <c r="J2681" t="str">
        <f>"31088"</f>
        <v>31088</v>
      </c>
      <c r="K2681" t="s">
        <v>75</v>
      </c>
      <c r="L2681">
        <v>49</v>
      </c>
      <c r="M2681">
        <v>49</v>
      </c>
      <c r="N2681">
        <v>0</v>
      </c>
      <c r="O2681" s="1">
        <v>45582.358310185184</v>
      </c>
      <c r="P2681" t="s">
        <v>132</v>
      </c>
    </row>
    <row r="2682" spans="1:16" x14ac:dyDescent="0.3">
      <c r="A2682" t="s">
        <v>25</v>
      </c>
      <c r="B2682" s="1">
        <v>45582.358310185184</v>
      </c>
      <c r="C2682" t="str">
        <f>"41"</f>
        <v>41</v>
      </c>
      <c r="D2682" t="s">
        <v>120</v>
      </c>
      <c r="E2682" t="s">
        <v>116</v>
      </c>
      <c r="F2682" t="s">
        <v>117</v>
      </c>
      <c r="H2682" t="s">
        <v>579</v>
      </c>
      <c r="I2682" t="str">
        <f>"101050002000450"</f>
        <v>101050002000450</v>
      </c>
      <c r="J2682" t="str">
        <f>"31088"</f>
        <v>31088</v>
      </c>
      <c r="K2682" t="s">
        <v>75</v>
      </c>
      <c r="L2682">
        <v>49</v>
      </c>
      <c r="M2682">
        <v>49</v>
      </c>
      <c r="N2682">
        <v>0</v>
      </c>
      <c r="O2682" s="1">
        <v>45582.358310185184</v>
      </c>
      <c r="P2682" t="s">
        <v>132</v>
      </c>
    </row>
    <row r="2683" spans="1:16" x14ac:dyDescent="0.3">
      <c r="A2683" t="s">
        <v>25</v>
      </c>
      <c r="B2683" s="1">
        <v>45582.358310185184</v>
      </c>
      <c r="C2683" t="str">
        <f>"41"</f>
        <v>41</v>
      </c>
      <c r="D2683" t="s">
        <v>120</v>
      </c>
      <c r="E2683" t="s">
        <v>116</v>
      </c>
      <c r="F2683" t="s">
        <v>117</v>
      </c>
      <c r="H2683" t="s">
        <v>579</v>
      </c>
      <c r="I2683" t="str">
        <f>"101050002000207"</f>
        <v>101050002000207</v>
      </c>
      <c r="J2683" t="str">
        <f>"31088"</f>
        <v>31088</v>
      </c>
      <c r="K2683" t="s">
        <v>75</v>
      </c>
      <c r="L2683">
        <v>49</v>
      </c>
      <c r="M2683">
        <v>49</v>
      </c>
      <c r="N2683">
        <v>0</v>
      </c>
      <c r="O2683" s="1">
        <v>45582.358310185184</v>
      </c>
      <c r="P2683" t="s">
        <v>132</v>
      </c>
    </row>
    <row r="2684" spans="1:16" x14ac:dyDescent="0.3">
      <c r="A2684" t="s">
        <v>25</v>
      </c>
      <c r="B2684" s="1">
        <v>45582.356180555558</v>
      </c>
      <c r="C2684" t="str">
        <f>"38"</f>
        <v>38</v>
      </c>
      <c r="D2684" t="s">
        <v>115</v>
      </c>
      <c r="E2684" t="s">
        <v>116</v>
      </c>
      <c r="F2684" t="s">
        <v>117</v>
      </c>
      <c r="H2684" t="s">
        <v>585</v>
      </c>
      <c r="L2684">
        <v>0</v>
      </c>
      <c r="M2684">
        <v>0</v>
      </c>
      <c r="N2684">
        <v>0</v>
      </c>
      <c r="O2684" s="1">
        <v>45582.356180555558</v>
      </c>
      <c r="P2684" t="s">
        <v>132</v>
      </c>
    </row>
    <row r="2685" spans="1:16" x14ac:dyDescent="0.3">
      <c r="A2685" t="s">
        <v>25</v>
      </c>
      <c r="B2685" s="1">
        <v>45582.356180555558</v>
      </c>
      <c r="C2685" t="str">
        <f t="shared" ref="C2685:C2691" si="507">"41"</f>
        <v>41</v>
      </c>
      <c r="D2685" t="s">
        <v>120</v>
      </c>
      <c r="E2685" t="s">
        <v>116</v>
      </c>
      <c r="F2685" t="s">
        <v>117</v>
      </c>
      <c r="H2685" t="s">
        <v>585</v>
      </c>
      <c r="I2685" t="str">
        <f>"101050002022055"</f>
        <v>101050002022055</v>
      </c>
      <c r="J2685" t="str">
        <f t="shared" ref="J2685:J2691" si="508">"2530"</f>
        <v>2530</v>
      </c>
      <c r="K2685" t="s">
        <v>74</v>
      </c>
      <c r="L2685">
        <v>49</v>
      </c>
      <c r="M2685">
        <v>49</v>
      </c>
      <c r="N2685">
        <v>0</v>
      </c>
      <c r="O2685" s="1">
        <v>45582.356180555558</v>
      </c>
      <c r="P2685" t="s">
        <v>132</v>
      </c>
    </row>
    <row r="2686" spans="1:16" x14ac:dyDescent="0.3">
      <c r="A2686" t="s">
        <v>25</v>
      </c>
      <c r="B2686" s="1">
        <v>45582.356168981481</v>
      </c>
      <c r="C2686" t="str">
        <f t="shared" si="507"/>
        <v>41</v>
      </c>
      <c r="D2686" t="s">
        <v>120</v>
      </c>
      <c r="E2686" t="s">
        <v>116</v>
      </c>
      <c r="F2686" t="s">
        <v>117</v>
      </c>
      <c r="H2686" t="s">
        <v>585</v>
      </c>
      <c r="I2686" t="str">
        <f>"101050002022016"</f>
        <v>101050002022016</v>
      </c>
      <c r="J2686" t="str">
        <f t="shared" si="508"/>
        <v>2530</v>
      </c>
      <c r="K2686" t="s">
        <v>74</v>
      </c>
      <c r="L2686">
        <v>49</v>
      </c>
      <c r="M2686">
        <v>49</v>
      </c>
      <c r="N2686">
        <v>0</v>
      </c>
      <c r="O2686" s="1">
        <v>45582.356168981481</v>
      </c>
      <c r="P2686" t="s">
        <v>132</v>
      </c>
    </row>
    <row r="2687" spans="1:16" x14ac:dyDescent="0.3">
      <c r="A2687" t="s">
        <v>25</v>
      </c>
      <c r="B2687" s="1">
        <v>45582.356168981481</v>
      </c>
      <c r="C2687" t="str">
        <f t="shared" si="507"/>
        <v>41</v>
      </c>
      <c r="D2687" t="s">
        <v>120</v>
      </c>
      <c r="E2687" t="s">
        <v>116</v>
      </c>
      <c r="F2687" t="s">
        <v>117</v>
      </c>
      <c r="H2687" t="s">
        <v>585</v>
      </c>
      <c r="I2687" t="str">
        <f>"101050002022327"</f>
        <v>101050002022327</v>
      </c>
      <c r="J2687" t="str">
        <f t="shared" si="508"/>
        <v>2530</v>
      </c>
      <c r="K2687" t="s">
        <v>74</v>
      </c>
      <c r="L2687">
        <v>49</v>
      </c>
      <c r="M2687">
        <v>49</v>
      </c>
      <c r="N2687">
        <v>0</v>
      </c>
      <c r="O2687" s="1">
        <v>45582.356168981481</v>
      </c>
      <c r="P2687" t="s">
        <v>132</v>
      </c>
    </row>
    <row r="2688" spans="1:16" x14ac:dyDescent="0.3">
      <c r="A2688" t="s">
        <v>25</v>
      </c>
      <c r="B2688" s="1">
        <v>45582.356168981481</v>
      </c>
      <c r="C2688" t="str">
        <f t="shared" si="507"/>
        <v>41</v>
      </c>
      <c r="D2688" t="s">
        <v>120</v>
      </c>
      <c r="E2688" t="s">
        <v>116</v>
      </c>
      <c r="F2688" t="s">
        <v>117</v>
      </c>
      <c r="H2688" t="s">
        <v>585</v>
      </c>
      <c r="I2688" t="str">
        <f>"101050002022443"</f>
        <v>101050002022443</v>
      </c>
      <c r="J2688" t="str">
        <f t="shared" si="508"/>
        <v>2530</v>
      </c>
      <c r="K2688" t="s">
        <v>74</v>
      </c>
      <c r="L2688">
        <v>49</v>
      </c>
      <c r="M2688">
        <v>49</v>
      </c>
      <c r="N2688">
        <v>0</v>
      </c>
      <c r="O2688" s="1">
        <v>45582.356168981481</v>
      </c>
      <c r="P2688" t="s">
        <v>132</v>
      </c>
    </row>
    <row r="2689" spans="1:16" x14ac:dyDescent="0.3">
      <c r="A2689" t="s">
        <v>25</v>
      </c>
      <c r="B2689" s="1">
        <v>45582.356168981481</v>
      </c>
      <c r="C2689" t="str">
        <f t="shared" si="507"/>
        <v>41</v>
      </c>
      <c r="D2689" t="s">
        <v>120</v>
      </c>
      <c r="E2689" t="s">
        <v>116</v>
      </c>
      <c r="F2689" t="s">
        <v>117</v>
      </c>
      <c r="H2689" t="s">
        <v>585</v>
      </c>
      <c r="I2689" t="str">
        <f>"101050002022328"</f>
        <v>101050002022328</v>
      </c>
      <c r="J2689" t="str">
        <f t="shared" si="508"/>
        <v>2530</v>
      </c>
      <c r="K2689" t="s">
        <v>74</v>
      </c>
      <c r="L2689">
        <v>49</v>
      </c>
      <c r="M2689">
        <v>49</v>
      </c>
      <c r="N2689">
        <v>0</v>
      </c>
      <c r="O2689" s="1">
        <v>45582.356168981481</v>
      </c>
      <c r="P2689" t="s">
        <v>132</v>
      </c>
    </row>
    <row r="2690" spans="1:16" x14ac:dyDescent="0.3">
      <c r="A2690" t="s">
        <v>25</v>
      </c>
      <c r="B2690" s="1">
        <v>45582.356168981481</v>
      </c>
      <c r="C2690" t="str">
        <f t="shared" si="507"/>
        <v>41</v>
      </c>
      <c r="D2690" t="s">
        <v>120</v>
      </c>
      <c r="E2690" t="s">
        <v>116</v>
      </c>
      <c r="F2690" t="s">
        <v>117</v>
      </c>
      <c r="H2690" t="s">
        <v>585</v>
      </c>
      <c r="I2690" t="str">
        <f>"101050002022329"</f>
        <v>101050002022329</v>
      </c>
      <c r="J2690" t="str">
        <f t="shared" si="508"/>
        <v>2530</v>
      </c>
      <c r="K2690" t="s">
        <v>74</v>
      </c>
      <c r="L2690">
        <v>49</v>
      </c>
      <c r="M2690">
        <v>49</v>
      </c>
      <c r="N2690">
        <v>0</v>
      </c>
      <c r="O2690" s="1">
        <v>45582.356168981481</v>
      </c>
      <c r="P2690" t="s">
        <v>132</v>
      </c>
    </row>
    <row r="2691" spans="1:16" x14ac:dyDescent="0.3">
      <c r="A2691" t="s">
        <v>25</v>
      </c>
      <c r="B2691" s="1">
        <v>45582.356168981481</v>
      </c>
      <c r="C2691" t="str">
        <f t="shared" si="507"/>
        <v>41</v>
      </c>
      <c r="D2691" t="s">
        <v>120</v>
      </c>
      <c r="E2691" t="s">
        <v>116</v>
      </c>
      <c r="F2691" t="s">
        <v>117</v>
      </c>
      <c r="H2691" t="s">
        <v>585</v>
      </c>
      <c r="I2691" t="str">
        <f>"101050002022442"</f>
        <v>101050002022442</v>
      </c>
      <c r="J2691" t="str">
        <f t="shared" si="508"/>
        <v>2530</v>
      </c>
      <c r="K2691" t="s">
        <v>74</v>
      </c>
      <c r="L2691">
        <v>49</v>
      </c>
      <c r="M2691">
        <v>49</v>
      </c>
      <c r="N2691">
        <v>0</v>
      </c>
      <c r="O2691" s="1">
        <v>45582.356168981481</v>
      </c>
      <c r="P2691" t="s">
        <v>132</v>
      </c>
    </row>
    <row r="2692" spans="1:16" x14ac:dyDescent="0.3">
      <c r="A2692" t="s">
        <v>25</v>
      </c>
      <c r="B2692" s="1">
        <v>45582.357037037036</v>
      </c>
      <c r="C2692" t="str">
        <f>"38"</f>
        <v>38</v>
      </c>
      <c r="D2692" t="s">
        <v>115</v>
      </c>
      <c r="E2692" t="s">
        <v>116</v>
      </c>
      <c r="F2692" t="s">
        <v>117</v>
      </c>
      <c r="H2692" t="s">
        <v>714</v>
      </c>
      <c r="L2692">
        <v>0</v>
      </c>
      <c r="M2692">
        <v>0</v>
      </c>
      <c r="N2692">
        <v>0</v>
      </c>
      <c r="O2692" s="1">
        <v>45582.357037037036</v>
      </c>
      <c r="P2692" t="s">
        <v>122</v>
      </c>
    </row>
    <row r="2693" spans="1:16" x14ac:dyDescent="0.3">
      <c r="A2693" t="s">
        <v>25</v>
      </c>
      <c r="B2693" s="1">
        <v>45582.357037037036</v>
      </c>
      <c r="C2693" t="str">
        <f>"41"</f>
        <v>41</v>
      </c>
      <c r="D2693" t="s">
        <v>120</v>
      </c>
      <c r="E2693" t="s">
        <v>116</v>
      </c>
      <c r="F2693" t="s">
        <v>117</v>
      </c>
      <c r="H2693" t="s">
        <v>714</v>
      </c>
      <c r="I2693" t="str">
        <f>"101570001110822"</f>
        <v>101570001110822</v>
      </c>
      <c r="J2693" t="str">
        <f>"126312"</f>
        <v>126312</v>
      </c>
      <c r="K2693" t="s">
        <v>44</v>
      </c>
      <c r="L2693">
        <v>49</v>
      </c>
      <c r="M2693">
        <v>49</v>
      </c>
      <c r="N2693">
        <v>0</v>
      </c>
      <c r="O2693" s="1">
        <v>45582.357037037036</v>
      </c>
      <c r="P2693" t="s">
        <v>122</v>
      </c>
    </row>
    <row r="2694" spans="1:16" x14ac:dyDescent="0.3">
      <c r="A2694" t="s">
        <v>25</v>
      </c>
      <c r="B2694" s="1">
        <v>45582.357037037036</v>
      </c>
      <c r="C2694" t="str">
        <f>"41"</f>
        <v>41</v>
      </c>
      <c r="D2694" t="s">
        <v>120</v>
      </c>
      <c r="E2694" t="s">
        <v>116</v>
      </c>
      <c r="F2694" t="s">
        <v>117</v>
      </c>
      <c r="H2694" t="s">
        <v>714</v>
      </c>
      <c r="I2694" t="str">
        <f>"101570001110379"</f>
        <v>101570001110379</v>
      </c>
      <c r="J2694" t="str">
        <f>"126312"</f>
        <v>126312</v>
      </c>
      <c r="K2694" t="s">
        <v>44</v>
      </c>
      <c r="L2694">
        <v>49</v>
      </c>
      <c r="M2694">
        <v>49</v>
      </c>
      <c r="N2694">
        <v>0</v>
      </c>
      <c r="O2694" s="1">
        <v>45582.357037037036</v>
      </c>
      <c r="P2694" t="s">
        <v>122</v>
      </c>
    </row>
    <row r="2695" spans="1:16" x14ac:dyDescent="0.3">
      <c r="A2695" t="s">
        <v>25</v>
      </c>
      <c r="B2695" s="1">
        <v>45582.357037037036</v>
      </c>
      <c r="C2695" t="str">
        <f>"41"</f>
        <v>41</v>
      </c>
      <c r="D2695" t="s">
        <v>120</v>
      </c>
      <c r="E2695" t="s">
        <v>116</v>
      </c>
      <c r="F2695" t="s">
        <v>117</v>
      </c>
      <c r="H2695" t="s">
        <v>714</v>
      </c>
      <c r="I2695" t="str">
        <f>"101570001110381"</f>
        <v>101570001110381</v>
      </c>
      <c r="J2695" t="str">
        <f>"126312"</f>
        <v>126312</v>
      </c>
      <c r="K2695" t="s">
        <v>44</v>
      </c>
      <c r="L2695">
        <v>49</v>
      </c>
      <c r="M2695">
        <v>49</v>
      </c>
      <c r="N2695">
        <v>0</v>
      </c>
      <c r="O2695" s="1">
        <v>45582.357037037036</v>
      </c>
      <c r="P2695" t="s">
        <v>122</v>
      </c>
    </row>
    <row r="2696" spans="1:16" x14ac:dyDescent="0.3">
      <c r="A2696" t="s">
        <v>25</v>
      </c>
      <c r="B2696" s="1">
        <v>45582.357037037036</v>
      </c>
      <c r="C2696" t="str">
        <f>"41"</f>
        <v>41</v>
      </c>
      <c r="D2696" t="s">
        <v>120</v>
      </c>
      <c r="E2696" t="s">
        <v>116</v>
      </c>
      <c r="F2696" t="s">
        <v>117</v>
      </c>
      <c r="H2696" t="s">
        <v>714</v>
      </c>
      <c r="I2696" t="str">
        <f>"101570001110382"</f>
        <v>101570001110382</v>
      </c>
      <c r="J2696" t="str">
        <f>"126312"</f>
        <v>126312</v>
      </c>
      <c r="K2696" t="s">
        <v>44</v>
      </c>
      <c r="L2696">
        <v>49</v>
      </c>
      <c r="M2696">
        <v>49</v>
      </c>
      <c r="N2696">
        <v>0</v>
      </c>
      <c r="O2696" s="1">
        <v>45582.357037037036</v>
      </c>
      <c r="P2696" t="s">
        <v>122</v>
      </c>
    </row>
    <row r="2697" spans="1:16" x14ac:dyDescent="0.3">
      <c r="A2697" t="s">
        <v>25</v>
      </c>
      <c r="B2697" s="1">
        <v>45582.357037037036</v>
      </c>
      <c r="C2697" t="str">
        <f>"41"</f>
        <v>41</v>
      </c>
      <c r="D2697" t="s">
        <v>120</v>
      </c>
      <c r="E2697" t="s">
        <v>116</v>
      </c>
      <c r="F2697" t="s">
        <v>117</v>
      </c>
      <c r="H2697" t="s">
        <v>714</v>
      </c>
      <c r="I2697" t="str">
        <f>"101570001106823"</f>
        <v>101570001106823</v>
      </c>
      <c r="J2697" t="str">
        <f>"126312"</f>
        <v>126312</v>
      </c>
      <c r="K2697" t="s">
        <v>44</v>
      </c>
      <c r="L2697">
        <v>49</v>
      </c>
      <c r="M2697">
        <v>49</v>
      </c>
      <c r="N2697">
        <v>0</v>
      </c>
      <c r="O2697" s="1">
        <v>45582.357037037036</v>
      </c>
      <c r="P2697" t="s">
        <v>122</v>
      </c>
    </row>
    <row r="2698" spans="1:16" x14ac:dyDescent="0.3">
      <c r="A2698" t="s">
        <v>25</v>
      </c>
      <c r="B2698" s="1">
        <v>45582.355833333335</v>
      </c>
      <c r="C2698" t="str">
        <f>"38"</f>
        <v>38</v>
      </c>
      <c r="D2698" t="s">
        <v>115</v>
      </c>
      <c r="E2698" t="s">
        <v>116</v>
      </c>
      <c r="F2698" t="s">
        <v>117</v>
      </c>
      <c r="H2698" t="s">
        <v>715</v>
      </c>
      <c r="L2698">
        <v>0</v>
      </c>
      <c r="M2698">
        <v>0</v>
      </c>
      <c r="N2698">
        <v>0</v>
      </c>
      <c r="O2698" s="1">
        <v>45582.355833333335</v>
      </c>
      <c r="P2698" t="s">
        <v>119</v>
      </c>
    </row>
    <row r="2699" spans="1:16" x14ac:dyDescent="0.3">
      <c r="A2699" t="s">
        <v>25</v>
      </c>
      <c r="B2699" s="1">
        <v>45582.355833333335</v>
      </c>
      <c r="C2699" t="str">
        <f t="shared" ref="C2699:C2705" si="509">"41"</f>
        <v>41</v>
      </c>
      <c r="D2699" t="s">
        <v>120</v>
      </c>
      <c r="E2699" t="s">
        <v>116</v>
      </c>
      <c r="F2699" t="s">
        <v>117</v>
      </c>
      <c r="H2699" t="s">
        <v>715</v>
      </c>
      <c r="I2699" t="str">
        <f>"101620000471216"</f>
        <v>101620000471216</v>
      </c>
      <c r="J2699" t="str">
        <f t="shared" ref="J2699:J2705" si="510">"514867"</f>
        <v>514867</v>
      </c>
      <c r="K2699" t="s">
        <v>16</v>
      </c>
      <c r="L2699">
        <v>49</v>
      </c>
      <c r="M2699">
        <v>49</v>
      </c>
      <c r="N2699">
        <v>0</v>
      </c>
      <c r="O2699" s="1">
        <v>45582.355833333335</v>
      </c>
      <c r="P2699" t="s">
        <v>119</v>
      </c>
    </row>
    <row r="2700" spans="1:16" x14ac:dyDescent="0.3">
      <c r="A2700" t="s">
        <v>25</v>
      </c>
      <c r="B2700" s="1">
        <v>45582.355833333335</v>
      </c>
      <c r="C2700" t="str">
        <f t="shared" si="509"/>
        <v>41</v>
      </c>
      <c r="D2700" t="s">
        <v>120</v>
      </c>
      <c r="E2700" t="s">
        <v>116</v>
      </c>
      <c r="F2700" t="s">
        <v>117</v>
      </c>
      <c r="H2700" t="s">
        <v>715</v>
      </c>
      <c r="I2700" t="str">
        <f>"101620000471219"</f>
        <v>101620000471219</v>
      </c>
      <c r="J2700" t="str">
        <f t="shared" si="510"/>
        <v>514867</v>
      </c>
      <c r="K2700" t="s">
        <v>16</v>
      </c>
      <c r="L2700">
        <v>49</v>
      </c>
      <c r="M2700">
        <v>49</v>
      </c>
      <c r="N2700">
        <v>0</v>
      </c>
      <c r="O2700" s="1">
        <v>45582.355833333335</v>
      </c>
      <c r="P2700" t="s">
        <v>119</v>
      </c>
    </row>
    <row r="2701" spans="1:16" x14ac:dyDescent="0.3">
      <c r="A2701" t="s">
        <v>25</v>
      </c>
      <c r="B2701" s="1">
        <v>45582.355833333335</v>
      </c>
      <c r="C2701" t="str">
        <f t="shared" si="509"/>
        <v>41</v>
      </c>
      <c r="D2701" t="s">
        <v>120</v>
      </c>
      <c r="E2701" t="s">
        <v>116</v>
      </c>
      <c r="F2701" t="s">
        <v>117</v>
      </c>
      <c r="H2701" t="s">
        <v>715</v>
      </c>
      <c r="I2701" t="str">
        <f>"101620000471221"</f>
        <v>101620000471221</v>
      </c>
      <c r="J2701" t="str">
        <f t="shared" si="510"/>
        <v>514867</v>
      </c>
      <c r="K2701" t="s">
        <v>16</v>
      </c>
      <c r="L2701">
        <v>49</v>
      </c>
      <c r="M2701">
        <v>49</v>
      </c>
      <c r="N2701">
        <v>0</v>
      </c>
      <c r="O2701" s="1">
        <v>45582.355833333335</v>
      </c>
      <c r="P2701" t="s">
        <v>119</v>
      </c>
    </row>
    <row r="2702" spans="1:16" x14ac:dyDescent="0.3">
      <c r="A2702" t="s">
        <v>25</v>
      </c>
      <c r="B2702" s="1">
        <v>45582.355833333335</v>
      </c>
      <c r="C2702" t="str">
        <f t="shared" si="509"/>
        <v>41</v>
      </c>
      <c r="D2702" t="s">
        <v>120</v>
      </c>
      <c r="E2702" t="s">
        <v>116</v>
      </c>
      <c r="F2702" t="s">
        <v>117</v>
      </c>
      <c r="H2702" t="s">
        <v>715</v>
      </c>
      <c r="I2702" t="str">
        <f>"101620000468185"</f>
        <v>101620000468185</v>
      </c>
      <c r="J2702" t="str">
        <f t="shared" si="510"/>
        <v>514867</v>
      </c>
      <c r="K2702" t="s">
        <v>16</v>
      </c>
      <c r="L2702">
        <v>49</v>
      </c>
      <c r="M2702">
        <v>49</v>
      </c>
      <c r="N2702">
        <v>0</v>
      </c>
      <c r="O2702" s="1">
        <v>45582.355833333335</v>
      </c>
      <c r="P2702" t="s">
        <v>119</v>
      </c>
    </row>
    <row r="2703" spans="1:16" x14ac:dyDescent="0.3">
      <c r="A2703" t="s">
        <v>25</v>
      </c>
      <c r="B2703" s="1">
        <v>45582.355833333335</v>
      </c>
      <c r="C2703" t="str">
        <f t="shared" si="509"/>
        <v>41</v>
      </c>
      <c r="D2703" t="s">
        <v>120</v>
      </c>
      <c r="E2703" t="s">
        <v>116</v>
      </c>
      <c r="F2703" t="s">
        <v>117</v>
      </c>
      <c r="H2703" t="s">
        <v>715</v>
      </c>
      <c r="I2703" t="str">
        <f>"101620000468382"</f>
        <v>101620000468382</v>
      </c>
      <c r="J2703" t="str">
        <f t="shared" si="510"/>
        <v>514867</v>
      </c>
      <c r="K2703" t="s">
        <v>16</v>
      </c>
      <c r="L2703">
        <v>49</v>
      </c>
      <c r="M2703">
        <v>49</v>
      </c>
      <c r="N2703">
        <v>0</v>
      </c>
      <c r="O2703" s="1">
        <v>45582.355833333335</v>
      </c>
      <c r="P2703" t="s">
        <v>119</v>
      </c>
    </row>
    <row r="2704" spans="1:16" x14ac:dyDescent="0.3">
      <c r="A2704" t="s">
        <v>25</v>
      </c>
      <c r="B2704" s="1">
        <v>45582.355833333335</v>
      </c>
      <c r="C2704" t="str">
        <f t="shared" si="509"/>
        <v>41</v>
      </c>
      <c r="D2704" t="s">
        <v>120</v>
      </c>
      <c r="E2704" t="s">
        <v>116</v>
      </c>
      <c r="F2704" t="s">
        <v>117</v>
      </c>
      <c r="H2704" t="s">
        <v>715</v>
      </c>
      <c r="I2704" t="str">
        <f>"101620000468365"</f>
        <v>101620000468365</v>
      </c>
      <c r="J2704" t="str">
        <f t="shared" si="510"/>
        <v>514867</v>
      </c>
      <c r="K2704" t="s">
        <v>16</v>
      </c>
      <c r="L2704">
        <v>49</v>
      </c>
      <c r="M2704">
        <v>49</v>
      </c>
      <c r="N2704">
        <v>0</v>
      </c>
      <c r="O2704" s="1">
        <v>45582.355833333335</v>
      </c>
      <c r="P2704" t="s">
        <v>119</v>
      </c>
    </row>
    <row r="2705" spans="1:16" x14ac:dyDescent="0.3">
      <c r="A2705" t="s">
        <v>25</v>
      </c>
      <c r="B2705" s="1">
        <v>45582.355833333335</v>
      </c>
      <c r="C2705" t="str">
        <f t="shared" si="509"/>
        <v>41</v>
      </c>
      <c r="D2705" t="s">
        <v>120</v>
      </c>
      <c r="E2705" t="s">
        <v>116</v>
      </c>
      <c r="F2705" t="s">
        <v>117</v>
      </c>
      <c r="H2705" t="s">
        <v>715</v>
      </c>
      <c r="I2705" t="str">
        <f>"101620000468376"</f>
        <v>101620000468376</v>
      </c>
      <c r="J2705" t="str">
        <f t="shared" si="510"/>
        <v>514867</v>
      </c>
      <c r="K2705" t="s">
        <v>16</v>
      </c>
      <c r="L2705">
        <v>49</v>
      </c>
      <c r="M2705">
        <v>49</v>
      </c>
      <c r="N2705">
        <v>0</v>
      </c>
      <c r="O2705" s="1">
        <v>45582.355833333335</v>
      </c>
      <c r="P2705" t="s">
        <v>119</v>
      </c>
    </row>
    <row r="2706" spans="1:16" x14ac:dyDescent="0.3">
      <c r="A2706" t="s">
        <v>25</v>
      </c>
      <c r="B2706" s="1">
        <v>45582.355717592596</v>
      </c>
      <c r="C2706" t="str">
        <f>"38"</f>
        <v>38</v>
      </c>
      <c r="D2706" t="s">
        <v>115</v>
      </c>
      <c r="E2706" t="s">
        <v>116</v>
      </c>
      <c r="F2706" t="s">
        <v>117</v>
      </c>
      <c r="H2706" t="s">
        <v>716</v>
      </c>
      <c r="L2706">
        <v>0</v>
      </c>
      <c r="M2706">
        <v>0</v>
      </c>
      <c r="N2706">
        <v>0</v>
      </c>
      <c r="O2706" s="1">
        <v>45582.355717592596</v>
      </c>
      <c r="P2706" t="s">
        <v>125</v>
      </c>
    </row>
    <row r="2707" spans="1:16" x14ac:dyDescent="0.3">
      <c r="A2707" t="s">
        <v>25</v>
      </c>
      <c r="B2707" s="1">
        <v>45582.355717592596</v>
      </c>
      <c r="C2707" t="str">
        <f>"40"</f>
        <v>40</v>
      </c>
      <c r="D2707" t="s">
        <v>220</v>
      </c>
      <c r="E2707" t="s">
        <v>116</v>
      </c>
      <c r="F2707" t="s">
        <v>117</v>
      </c>
      <c r="G2707" t="s">
        <v>221</v>
      </c>
      <c r="H2707" t="s">
        <v>716</v>
      </c>
      <c r="I2707" t="str">
        <f>"101050002025283"</f>
        <v>101050002025283</v>
      </c>
      <c r="J2707" t="str">
        <f t="shared" ref="J2707:J2713" si="511">"128450"</f>
        <v>128450</v>
      </c>
      <c r="K2707" t="s">
        <v>10</v>
      </c>
      <c r="L2707">
        <v>49</v>
      </c>
      <c r="M2707">
        <v>0</v>
      </c>
      <c r="N2707">
        <v>-49</v>
      </c>
      <c r="O2707" s="1">
        <v>45582.355717592596</v>
      </c>
      <c r="P2707" t="s">
        <v>125</v>
      </c>
    </row>
    <row r="2708" spans="1:16" x14ac:dyDescent="0.3">
      <c r="A2708" t="s">
        <v>25</v>
      </c>
      <c r="B2708" s="1">
        <v>45582.355717592596</v>
      </c>
      <c r="C2708" t="str">
        <f>"40"</f>
        <v>40</v>
      </c>
      <c r="D2708" t="s">
        <v>220</v>
      </c>
      <c r="E2708" t="s">
        <v>116</v>
      </c>
      <c r="F2708" t="s">
        <v>117</v>
      </c>
      <c r="G2708" t="s">
        <v>221</v>
      </c>
      <c r="H2708" t="s">
        <v>716</v>
      </c>
      <c r="I2708" t="str">
        <f>"101050002024906"</f>
        <v>101050002024906</v>
      </c>
      <c r="J2708" t="str">
        <f t="shared" si="511"/>
        <v>128450</v>
      </c>
      <c r="K2708" t="s">
        <v>10</v>
      </c>
      <c r="L2708">
        <v>49</v>
      </c>
      <c r="M2708">
        <v>0</v>
      </c>
      <c r="N2708">
        <v>-49</v>
      </c>
      <c r="O2708" s="1">
        <v>45582.355717592596</v>
      </c>
      <c r="P2708" t="s">
        <v>125</v>
      </c>
    </row>
    <row r="2709" spans="1:16" x14ac:dyDescent="0.3">
      <c r="A2709" t="s">
        <v>25</v>
      </c>
      <c r="B2709" s="1">
        <v>45582.355706018519</v>
      </c>
      <c r="C2709" t="str">
        <f>"41"</f>
        <v>41</v>
      </c>
      <c r="D2709" t="s">
        <v>120</v>
      </c>
      <c r="E2709" t="s">
        <v>116</v>
      </c>
      <c r="F2709" t="s">
        <v>117</v>
      </c>
      <c r="H2709" t="s">
        <v>716</v>
      </c>
      <c r="I2709" t="str">
        <f>"101050002025321"</f>
        <v>101050002025321</v>
      </c>
      <c r="J2709" t="str">
        <f t="shared" si="511"/>
        <v>128450</v>
      </c>
      <c r="K2709" t="s">
        <v>10</v>
      </c>
      <c r="L2709">
        <v>49</v>
      </c>
      <c r="M2709">
        <v>49</v>
      </c>
      <c r="N2709">
        <v>0</v>
      </c>
      <c r="O2709" s="1">
        <v>45582.355706018519</v>
      </c>
      <c r="P2709" t="s">
        <v>125</v>
      </c>
    </row>
    <row r="2710" spans="1:16" x14ac:dyDescent="0.3">
      <c r="A2710" t="s">
        <v>25</v>
      </c>
      <c r="B2710" s="1">
        <v>45582.355706018519</v>
      </c>
      <c r="C2710" t="str">
        <f>"41"</f>
        <v>41</v>
      </c>
      <c r="D2710" t="s">
        <v>120</v>
      </c>
      <c r="E2710" t="s">
        <v>116</v>
      </c>
      <c r="F2710" t="s">
        <v>117</v>
      </c>
      <c r="H2710" t="s">
        <v>716</v>
      </c>
      <c r="I2710" t="str">
        <f>"101050002024907"</f>
        <v>101050002024907</v>
      </c>
      <c r="J2710" t="str">
        <f t="shared" si="511"/>
        <v>128450</v>
      </c>
      <c r="K2710" t="s">
        <v>10</v>
      </c>
      <c r="L2710">
        <v>49</v>
      </c>
      <c r="M2710">
        <v>49</v>
      </c>
      <c r="N2710">
        <v>0</v>
      </c>
      <c r="O2710" s="1">
        <v>45582.355706018519</v>
      </c>
      <c r="P2710" t="s">
        <v>125</v>
      </c>
    </row>
    <row r="2711" spans="1:16" x14ac:dyDescent="0.3">
      <c r="A2711" t="s">
        <v>25</v>
      </c>
      <c r="B2711" s="1">
        <v>45582.355706018519</v>
      </c>
      <c r="C2711" t="str">
        <f>"41"</f>
        <v>41</v>
      </c>
      <c r="D2711" t="s">
        <v>120</v>
      </c>
      <c r="E2711" t="s">
        <v>116</v>
      </c>
      <c r="F2711" t="s">
        <v>117</v>
      </c>
      <c r="H2711" t="s">
        <v>716</v>
      </c>
      <c r="I2711" t="str">
        <f>"101050002025281"</f>
        <v>101050002025281</v>
      </c>
      <c r="J2711" t="str">
        <f t="shared" si="511"/>
        <v>128450</v>
      </c>
      <c r="K2711" t="s">
        <v>10</v>
      </c>
      <c r="L2711">
        <v>49</v>
      </c>
      <c r="M2711">
        <v>49</v>
      </c>
      <c r="N2711">
        <v>0</v>
      </c>
      <c r="O2711" s="1">
        <v>45582.355706018519</v>
      </c>
      <c r="P2711" t="s">
        <v>125</v>
      </c>
    </row>
    <row r="2712" spans="1:16" x14ac:dyDescent="0.3">
      <c r="A2712" t="s">
        <v>25</v>
      </c>
      <c r="B2712" s="1">
        <v>45582.355706018519</v>
      </c>
      <c r="C2712" t="str">
        <f>"41"</f>
        <v>41</v>
      </c>
      <c r="D2712" t="s">
        <v>120</v>
      </c>
      <c r="E2712" t="s">
        <v>116</v>
      </c>
      <c r="F2712" t="s">
        <v>117</v>
      </c>
      <c r="H2712" t="s">
        <v>716</v>
      </c>
      <c r="I2712" t="str">
        <f>"101050002025209"</f>
        <v>101050002025209</v>
      </c>
      <c r="J2712" t="str">
        <f t="shared" si="511"/>
        <v>128450</v>
      </c>
      <c r="K2712" t="s">
        <v>10</v>
      </c>
      <c r="L2712">
        <v>49</v>
      </c>
      <c r="M2712">
        <v>49</v>
      </c>
      <c r="N2712">
        <v>0</v>
      </c>
      <c r="O2712" s="1">
        <v>45582.355706018519</v>
      </c>
      <c r="P2712" t="s">
        <v>125</v>
      </c>
    </row>
    <row r="2713" spans="1:16" x14ac:dyDescent="0.3">
      <c r="A2713" t="s">
        <v>25</v>
      </c>
      <c r="B2713" s="1">
        <v>45582.355706018519</v>
      </c>
      <c r="C2713" t="str">
        <f>"41"</f>
        <v>41</v>
      </c>
      <c r="D2713" t="s">
        <v>120</v>
      </c>
      <c r="E2713" t="s">
        <v>116</v>
      </c>
      <c r="F2713" t="s">
        <v>117</v>
      </c>
      <c r="H2713" t="s">
        <v>716</v>
      </c>
      <c r="I2713" t="str">
        <f>"101050002025250"</f>
        <v>101050002025250</v>
      </c>
      <c r="J2713" t="str">
        <f t="shared" si="511"/>
        <v>128450</v>
      </c>
      <c r="K2713" t="s">
        <v>10</v>
      </c>
      <c r="L2713">
        <v>49</v>
      </c>
      <c r="M2713">
        <v>49</v>
      </c>
      <c r="N2713">
        <v>0</v>
      </c>
      <c r="O2713" s="1">
        <v>45582.355706018519</v>
      </c>
      <c r="P2713" t="s">
        <v>125</v>
      </c>
    </row>
    <row r="2714" spans="1:16" x14ac:dyDescent="0.3">
      <c r="A2714" t="s">
        <v>25</v>
      </c>
      <c r="B2714" s="1">
        <v>45582.35297453704</v>
      </c>
      <c r="C2714" t="str">
        <f>"38"</f>
        <v>38</v>
      </c>
      <c r="D2714" t="s">
        <v>115</v>
      </c>
      <c r="E2714" t="s">
        <v>116</v>
      </c>
      <c r="F2714" t="s">
        <v>117</v>
      </c>
      <c r="H2714" t="s">
        <v>717</v>
      </c>
      <c r="L2714">
        <v>0</v>
      </c>
      <c r="M2714">
        <v>0</v>
      </c>
      <c r="N2714">
        <v>0</v>
      </c>
      <c r="O2714" s="1">
        <v>45582.35297453704</v>
      </c>
      <c r="P2714" t="s">
        <v>119</v>
      </c>
    </row>
    <row r="2715" spans="1:16" x14ac:dyDescent="0.3">
      <c r="A2715" t="s">
        <v>25</v>
      </c>
      <c r="B2715" s="1">
        <v>45582.35297453704</v>
      </c>
      <c r="C2715" t="str">
        <f>"41"</f>
        <v>41</v>
      </c>
      <c r="D2715" t="s">
        <v>120</v>
      </c>
      <c r="E2715" t="s">
        <v>116</v>
      </c>
      <c r="F2715" t="s">
        <v>117</v>
      </c>
      <c r="H2715" t="s">
        <v>717</v>
      </c>
      <c r="I2715" t="str">
        <f>"101050002009393"</f>
        <v>101050002009393</v>
      </c>
      <c r="J2715" t="str">
        <f>"128504"</f>
        <v>128504</v>
      </c>
      <c r="K2715" t="s">
        <v>71</v>
      </c>
      <c r="L2715">
        <v>49</v>
      </c>
      <c r="M2715">
        <v>49</v>
      </c>
      <c r="N2715">
        <v>0</v>
      </c>
      <c r="O2715" s="1">
        <v>45582.35297453704</v>
      </c>
      <c r="P2715" t="s">
        <v>119</v>
      </c>
    </row>
    <row r="2716" spans="1:16" x14ac:dyDescent="0.3">
      <c r="A2716" t="s">
        <v>25</v>
      </c>
      <c r="B2716" s="1">
        <v>45582.352962962963</v>
      </c>
      <c r="C2716" t="str">
        <f>"41"</f>
        <v>41</v>
      </c>
      <c r="D2716" t="s">
        <v>120</v>
      </c>
      <c r="E2716" t="s">
        <v>116</v>
      </c>
      <c r="F2716" t="s">
        <v>117</v>
      </c>
      <c r="H2716" t="s">
        <v>717</v>
      </c>
      <c r="I2716" t="str">
        <f>"101050002009391"</f>
        <v>101050002009391</v>
      </c>
      <c r="J2716" t="str">
        <f>"128504"</f>
        <v>128504</v>
      </c>
      <c r="K2716" t="s">
        <v>71</v>
      </c>
      <c r="L2716">
        <v>49</v>
      </c>
      <c r="M2716">
        <v>49</v>
      </c>
      <c r="N2716">
        <v>0</v>
      </c>
      <c r="O2716" s="1">
        <v>45582.352962962963</v>
      </c>
      <c r="P2716" t="s">
        <v>119</v>
      </c>
    </row>
    <row r="2717" spans="1:16" x14ac:dyDescent="0.3">
      <c r="A2717" t="s">
        <v>25</v>
      </c>
      <c r="B2717" s="1">
        <v>45582.352060185185</v>
      </c>
      <c r="C2717" t="str">
        <f>"38"</f>
        <v>38</v>
      </c>
      <c r="D2717" t="s">
        <v>115</v>
      </c>
      <c r="E2717" t="s">
        <v>116</v>
      </c>
      <c r="F2717" t="s">
        <v>117</v>
      </c>
      <c r="H2717" t="s">
        <v>718</v>
      </c>
      <c r="L2717">
        <v>0</v>
      </c>
      <c r="M2717">
        <v>0</v>
      </c>
      <c r="N2717">
        <v>0</v>
      </c>
      <c r="O2717" s="1">
        <v>45582.352060185185</v>
      </c>
      <c r="P2717" t="s">
        <v>119</v>
      </c>
    </row>
    <row r="2718" spans="1:16" x14ac:dyDescent="0.3">
      <c r="A2718" t="s">
        <v>25</v>
      </c>
      <c r="B2718" s="1">
        <v>45582.352060185185</v>
      </c>
      <c r="C2718" t="str">
        <f t="shared" ref="C2718:C2724" si="512">"41"</f>
        <v>41</v>
      </c>
      <c r="D2718" t="s">
        <v>120</v>
      </c>
      <c r="E2718" t="s">
        <v>116</v>
      </c>
      <c r="F2718" t="s">
        <v>117</v>
      </c>
      <c r="H2718" t="s">
        <v>718</v>
      </c>
      <c r="I2718" t="str">
        <f>"101050001996447"</f>
        <v>101050001996447</v>
      </c>
      <c r="J2718" t="str">
        <f t="shared" ref="J2718:J2724" si="513">"127205"</f>
        <v>127205</v>
      </c>
      <c r="K2718" t="s">
        <v>56</v>
      </c>
      <c r="L2718">
        <v>90</v>
      </c>
      <c r="M2718">
        <v>90</v>
      </c>
      <c r="N2718">
        <v>0</v>
      </c>
      <c r="O2718" s="1">
        <v>45582.352060185185</v>
      </c>
      <c r="P2718" t="s">
        <v>119</v>
      </c>
    </row>
    <row r="2719" spans="1:16" x14ac:dyDescent="0.3">
      <c r="A2719" t="s">
        <v>25</v>
      </c>
      <c r="B2719" s="1">
        <v>45582.352048611108</v>
      </c>
      <c r="C2719" t="str">
        <f t="shared" si="512"/>
        <v>41</v>
      </c>
      <c r="D2719" t="s">
        <v>120</v>
      </c>
      <c r="E2719" t="s">
        <v>116</v>
      </c>
      <c r="F2719" t="s">
        <v>117</v>
      </c>
      <c r="H2719" t="s">
        <v>718</v>
      </c>
      <c r="I2719" t="str">
        <f>"101050001996524"</f>
        <v>101050001996524</v>
      </c>
      <c r="J2719" t="str">
        <f t="shared" si="513"/>
        <v>127205</v>
      </c>
      <c r="K2719" t="s">
        <v>56</v>
      </c>
      <c r="L2719">
        <v>90</v>
      </c>
      <c r="M2719">
        <v>90</v>
      </c>
      <c r="N2719">
        <v>0</v>
      </c>
      <c r="O2719" s="1">
        <v>45582.352048611108</v>
      </c>
      <c r="P2719" t="s">
        <v>119</v>
      </c>
    </row>
    <row r="2720" spans="1:16" x14ac:dyDescent="0.3">
      <c r="A2720" t="s">
        <v>25</v>
      </c>
      <c r="B2720" s="1">
        <v>45582.352048611108</v>
      </c>
      <c r="C2720" t="str">
        <f t="shared" si="512"/>
        <v>41</v>
      </c>
      <c r="D2720" t="s">
        <v>120</v>
      </c>
      <c r="E2720" t="s">
        <v>116</v>
      </c>
      <c r="F2720" t="s">
        <v>117</v>
      </c>
      <c r="H2720" t="s">
        <v>718</v>
      </c>
      <c r="I2720" t="str">
        <f>"101050001996325"</f>
        <v>101050001996325</v>
      </c>
      <c r="J2720" t="str">
        <f t="shared" si="513"/>
        <v>127205</v>
      </c>
      <c r="K2720" t="s">
        <v>56</v>
      </c>
      <c r="L2720">
        <v>90</v>
      </c>
      <c r="M2720">
        <v>90</v>
      </c>
      <c r="N2720">
        <v>0</v>
      </c>
      <c r="O2720" s="1">
        <v>45582.352048611108</v>
      </c>
      <c r="P2720" t="s">
        <v>119</v>
      </c>
    </row>
    <row r="2721" spans="1:16" x14ac:dyDescent="0.3">
      <c r="A2721" t="s">
        <v>25</v>
      </c>
      <c r="B2721" s="1">
        <v>45582.352048611108</v>
      </c>
      <c r="C2721" t="str">
        <f t="shared" si="512"/>
        <v>41</v>
      </c>
      <c r="D2721" t="s">
        <v>120</v>
      </c>
      <c r="E2721" t="s">
        <v>116</v>
      </c>
      <c r="F2721" t="s">
        <v>117</v>
      </c>
      <c r="H2721" t="s">
        <v>718</v>
      </c>
      <c r="I2721" t="str">
        <f>"101050001996526"</f>
        <v>101050001996526</v>
      </c>
      <c r="J2721" t="str">
        <f t="shared" si="513"/>
        <v>127205</v>
      </c>
      <c r="K2721" t="s">
        <v>56</v>
      </c>
      <c r="L2721">
        <v>90</v>
      </c>
      <c r="M2721">
        <v>90</v>
      </c>
      <c r="N2721">
        <v>0</v>
      </c>
      <c r="O2721" s="1">
        <v>45582.352048611108</v>
      </c>
      <c r="P2721" t="s">
        <v>119</v>
      </c>
    </row>
    <row r="2722" spans="1:16" x14ac:dyDescent="0.3">
      <c r="A2722" t="s">
        <v>25</v>
      </c>
      <c r="B2722" s="1">
        <v>45582.352048611108</v>
      </c>
      <c r="C2722" t="str">
        <f t="shared" si="512"/>
        <v>41</v>
      </c>
      <c r="D2722" t="s">
        <v>120</v>
      </c>
      <c r="E2722" t="s">
        <v>116</v>
      </c>
      <c r="F2722" t="s">
        <v>117</v>
      </c>
      <c r="H2722" t="s">
        <v>718</v>
      </c>
      <c r="I2722" t="str">
        <f>"101050001996449"</f>
        <v>101050001996449</v>
      </c>
      <c r="J2722" t="str">
        <f t="shared" si="513"/>
        <v>127205</v>
      </c>
      <c r="K2722" t="s">
        <v>56</v>
      </c>
      <c r="L2722">
        <v>90</v>
      </c>
      <c r="M2722">
        <v>90</v>
      </c>
      <c r="N2722">
        <v>0</v>
      </c>
      <c r="O2722" s="1">
        <v>45582.352048611108</v>
      </c>
      <c r="P2722" t="s">
        <v>119</v>
      </c>
    </row>
    <row r="2723" spans="1:16" x14ac:dyDescent="0.3">
      <c r="A2723" t="s">
        <v>25</v>
      </c>
      <c r="B2723" s="1">
        <v>45582.352048611108</v>
      </c>
      <c r="C2723" t="str">
        <f t="shared" si="512"/>
        <v>41</v>
      </c>
      <c r="D2723" t="s">
        <v>120</v>
      </c>
      <c r="E2723" t="s">
        <v>116</v>
      </c>
      <c r="F2723" t="s">
        <v>117</v>
      </c>
      <c r="H2723" t="s">
        <v>718</v>
      </c>
      <c r="I2723" t="str">
        <f>"101050001996527"</f>
        <v>101050001996527</v>
      </c>
      <c r="J2723" t="str">
        <f t="shared" si="513"/>
        <v>127205</v>
      </c>
      <c r="K2723" t="s">
        <v>56</v>
      </c>
      <c r="L2723">
        <v>90</v>
      </c>
      <c r="M2723">
        <v>90</v>
      </c>
      <c r="N2723">
        <v>0</v>
      </c>
      <c r="O2723" s="1">
        <v>45582.352048611108</v>
      </c>
      <c r="P2723" t="s">
        <v>119</v>
      </c>
    </row>
    <row r="2724" spans="1:16" x14ac:dyDescent="0.3">
      <c r="A2724" t="s">
        <v>25</v>
      </c>
      <c r="B2724" s="1">
        <v>45582.352048611108</v>
      </c>
      <c r="C2724" t="str">
        <f t="shared" si="512"/>
        <v>41</v>
      </c>
      <c r="D2724" t="s">
        <v>120</v>
      </c>
      <c r="E2724" t="s">
        <v>116</v>
      </c>
      <c r="F2724" t="s">
        <v>117</v>
      </c>
      <c r="H2724" t="s">
        <v>718</v>
      </c>
      <c r="I2724" t="str">
        <f>"101050001996444"</f>
        <v>101050001996444</v>
      </c>
      <c r="J2724" t="str">
        <f t="shared" si="513"/>
        <v>127205</v>
      </c>
      <c r="K2724" t="s">
        <v>56</v>
      </c>
      <c r="L2724">
        <v>90</v>
      </c>
      <c r="M2724">
        <v>90</v>
      </c>
      <c r="N2724">
        <v>0</v>
      </c>
      <c r="O2724" s="1">
        <v>45582.352048611108</v>
      </c>
      <c r="P2724" t="s">
        <v>119</v>
      </c>
    </row>
    <row r="2725" spans="1:16" x14ac:dyDescent="0.3">
      <c r="A2725" t="s">
        <v>25</v>
      </c>
      <c r="B2725" s="1">
        <v>45582.351759259262</v>
      </c>
      <c r="C2725" t="str">
        <f>"38"</f>
        <v>38</v>
      </c>
      <c r="D2725" t="s">
        <v>115</v>
      </c>
      <c r="E2725" t="s">
        <v>116</v>
      </c>
      <c r="F2725" t="s">
        <v>117</v>
      </c>
      <c r="H2725" t="s">
        <v>719</v>
      </c>
      <c r="L2725">
        <v>0</v>
      </c>
      <c r="M2725">
        <v>0</v>
      </c>
      <c r="N2725">
        <v>0</v>
      </c>
      <c r="O2725" s="1">
        <v>45582.351759259262</v>
      </c>
      <c r="P2725" t="s">
        <v>122</v>
      </c>
    </row>
    <row r="2726" spans="1:16" x14ac:dyDescent="0.3">
      <c r="A2726" t="s">
        <v>25</v>
      </c>
      <c r="B2726" s="1">
        <v>45582.351759259262</v>
      </c>
      <c r="C2726" t="str">
        <f t="shared" ref="C2726:C2731" si="514">"41"</f>
        <v>41</v>
      </c>
      <c r="D2726" t="s">
        <v>120</v>
      </c>
      <c r="E2726" t="s">
        <v>116</v>
      </c>
      <c r="F2726" t="s">
        <v>117</v>
      </c>
      <c r="H2726" t="s">
        <v>719</v>
      </c>
      <c r="I2726" t="str">
        <f>"101050001980717"</f>
        <v>101050001980717</v>
      </c>
      <c r="J2726" t="str">
        <f t="shared" ref="J2726:J2731" si="515">"126481"</f>
        <v>126481</v>
      </c>
      <c r="K2726" t="s">
        <v>47</v>
      </c>
      <c r="L2726">
        <v>49</v>
      </c>
      <c r="M2726">
        <v>49</v>
      </c>
      <c r="N2726">
        <v>0</v>
      </c>
      <c r="O2726" s="1">
        <v>45582.351759259262</v>
      </c>
      <c r="P2726" t="s">
        <v>122</v>
      </c>
    </row>
    <row r="2727" spans="1:16" x14ac:dyDescent="0.3">
      <c r="A2727" t="s">
        <v>25</v>
      </c>
      <c r="B2727" s="1">
        <v>45582.351747685185</v>
      </c>
      <c r="C2727" t="str">
        <f t="shared" si="514"/>
        <v>41</v>
      </c>
      <c r="D2727" t="s">
        <v>120</v>
      </c>
      <c r="E2727" t="s">
        <v>116</v>
      </c>
      <c r="F2727" t="s">
        <v>117</v>
      </c>
      <c r="H2727" t="s">
        <v>719</v>
      </c>
      <c r="I2727" t="str">
        <f>"101050001980719"</f>
        <v>101050001980719</v>
      </c>
      <c r="J2727" t="str">
        <f t="shared" si="515"/>
        <v>126481</v>
      </c>
      <c r="K2727" t="s">
        <v>47</v>
      </c>
      <c r="L2727">
        <v>49</v>
      </c>
      <c r="M2727">
        <v>49</v>
      </c>
      <c r="N2727">
        <v>0</v>
      </c>
      <c r="O2727" s="1">
        <v>45582.351747685185</v>
      </c>
      <c r="P2727" t="s">
        <v>122</v>
      </c>
    </row>
    <row r="2728" spans="1:16" x14ac:dyDescent="0.3">
      <c r="A2728" t="s">
        <v>25</v>
      </c>
      <c r="B2728" s="1">
        <v>45582.351747685185</v>
      </c>
      <c r="C2728" t="str">
        <f t="shared" si="514"/>
        <v>41</v>
      </c>
      <c r="D2728" t="s">
        <v>120</v>
      </c>
      <c r="E2728" t="s">
        <v>116</v>
      </c>
      <c r="F2728" t="s">
        <v>117</v>
      </c>
      <c r="H2728" t="s">
        <v>719</v>
      </c>
      <c r="I2728" t="str">
        <f>"101050001980721"</f>
        <v>101050001980721</v>
      </c>
      <c r="J2728" t="str">
        <f t="shared" si="515"/>
        <v>126481</v>
      </c>
      <c r="K2728" t="s">
        <v>47</v>
      </c>
      <c r="L2728">
        <v>49</v>
      </c>
      <c r="M2728">
        <v>49</v>
      </c>
      <c r="N2728">
        <v>0</v>
      </c>
      <c r="O2728" s="1">
        <v>45582.351747685185</v>
      </c>
      <c r="P2728" t="s">
        <v>122</v>
      </c>
    </row>
    <row r="2729" spans="1:16" x14ac:dyDescent="0.3">
      <c r="A2729" t="s">
        <v>25</v>
      </c>
      <c r="B2729" s="1">
        <v>45582.351747685185</v>
      </c>
      <c r="C2729" t="str">
        <f t="shared" si="514"/>
        <v>41</v>
      </c>
      <c r="D2729" t="s">
        <v>120</v>
      </c>
      <c r="E2729" t="s">
        <v>116</v>
      </c>
      <c r="F2729" t="s">
        <v>117</v>
      </c>
      <c r="H2729" t="s">
        <v>719</v>
      </c>
      <c r="I2729" t="str">
        <f>"101050001980720"</f>
        <v>101050001980720</v>
      </c>
      <c r="J2729" t="str">
        <f t="shared" si="515"/>
        <v>126481</v>
      </c>
      <c r="K2729" t="s">
        <v>47</v>
      </c>
      <c r="L2729">
        <v>49</v>
      </c>
      <c r="M2729">
        <v>49</v>
      </c>
      <c r="N2729">
        <v>0</v>
      </c>
      <c r="O2729" s="1">
        <v>45582.351747685185</v>
      </c>
      <c r="P2729" t="s">
        <v>122</v>
      </c>
    </row>
    <row r="2730" spans="1:16" x14ac:dyDescent="0.3">
      <c r="A2730" t="s">
        <v>25</v>
      </c>
      <c r="B2730" s="1">
        <v>45582.351747685185</v>
      </c>
      <c r="C2730" t="str">
        <f t="shared" si="514"/>
        <v>41</v>
      </c>
      <c r="D2730" t="s">
        <v>120</v>
      </c>
      <c r="E2730" t="s">
        <v>116</v>
      </c>
      <c r="F2730" t="s">
        <v>117</v>
      </c>
      <c r="H2730" t="s">
        <v>719</v>
      </c>
      <c r="I2730" t="str">
        <f>"101050001980030"</f>
        <v>101050001980030</v>
      </c>
      <c r="J2730" t="str">
        <f t="shared" si="515"/>
        <v>126481</v>
      </c>
      <c r="K2730" t="s">
        <v>47</v>
      </c>
      <c r="L2730">
        <v>49</v>
      </c>
      <c r="M2730">
        <v>49</v>
      </c>
      <c r="N2730">
        <v>0</v>
      </c>
      <c r="O2730" s="1">
        <v>45582.351747685185</v>
      </c>
      <c r="P2730" t="s">
        <v>122</v>
      </c>
    </row>
    <row r="2731" spans="1:16" x14ac:dyDescent="0.3">
      <c r="A2731" t="s">
        <v>25</v>
      </c>
      <c r="B2731" s="1">
        <v>45582.351747685185</v>
      </c>
      <c r="C2731" t="str">
        <f t="shared" si="514"/>
        <v>41</v>
      </c>
      <c r="D2731" t="s">
        <v>120</v>
      </c>
      <c r="E2731" t="s">
        <v>116</v>
      </c>
      <c r="F2731" t="s">
        <v>117</v>
      </c>
      <c r="H2731" t="s">
        <v>719</v>
      </c>
      <c r="I2731" t="str">
        <f>"101050001980313"</f>
        <v>101050001980313</v>
      </c>
      <c r="J2731" t="str">
        <f t="shared" si="515"/>
        <v>126481</v>
      </c>
      <c r="K2731" t="s">
        <v>47</v>
      </c>
      <c r="L2731">
        <v>49</v>
      </c>
      <c r="M2731">
        <v>49</v>
      </c>
      <c r="N2731">
        <v>0</v>
      </c>
      <c r="O2731" s="1">
        <v>45582.351747685185</v>
      </c>
      <c r="P2731" t="s">
        <v>122</v>
      </c>
    </row>
    <row r="2732" spans="1:16" x14ac:dyDescent="0.3">
      <c r="A2732" t="s">
        <v>25</v>
      </c>
      <c r="B2732" s="1">
        <v>45582.349166666667</v>
      </c>
      <c r="C2732" t="str">
        <f>"38"</f>
        <v>38</v>
      </c>
      <c r="D2732" t="s">
        <v>115</v>
      </c>
      <c r="E2732" t="s">
        <v>116</v>
      </c>
      <c r="F2732" t="s">
        <v>117</v>
      </c>
      <c r="H2732" t="s">
        <v>720</v>
      </c>
      <c r="L2732">
        <v>0</v>
      </c>
      <c r="M2732">
        <v>0</v>
      </c>
      <c r="N2732">
        <v>0</v>
      </c>
      <c r="O2732" s="1">
        <v>45582.349166666667</v>
      </c>
      <c r="P2732" t="s">
        <v>122</v>
      </c>
    </row>
    <row r="2733" spans="1:16" x14ac:dyDescent="0.3">
      <c r="A2733" t="s">
        <v>25</v>
      </c>
      <c r="B2733" s="1">
        <v>45582.349166666667</v>
      </c>
      <c r="C2733" t="str">
        <f t="shared" ref="C2733:C2739" si="516">"41"</f>
        <v>41</v>
      </c>
      <c r="D2733" t="s">
        <v>120</v>
      </c>
      <c r="E2733" t="s">
        <v>116</v>
      </c>
      <c r="F2733" t="s">
        <v>117</v>
      </c>
      <c r="H2733" t="s">
        <v>720</v>
      </c>
      <c r="I2733" t="str">
        <f>"101570001108607"</f>
        <v>101570001108607</v>
      </c>
      <c r="J2733" t="str">
        <f t="shared" ref="J2733:J2739" si="517">"48205"</f>
        <v>48205</v>
      </c>
      <c r="K2733" t="s">
        <v>20</v>
      </c>
      <c r="L2733">
        <v>49</v>
      </c>
      <c r="M2733">
        <v>49</v>
      </c>
      <c r="N2733">
        <v>0</v>
      </c>
      <c r="O2733" s="1">
        <v>45582.349166666667</v>
      </c>
      <c r="P2733" t="s">
        <v>122</v>
      </c>
    </row>
    <row r="2734" spans="1:16" x14ac:dyDescent="0.3">
      <c r="A2734" t="s">
        <v>25</v>
      </c>
      <c r="B2734" s="1">
        <v>45582.349166666667</v>
      </c>
      <c r="C2734" t="str">
        <f t="shared" si="516"/>
        <v>41</v>
      </c>
      <c r="D2734" t="s">
        <v>120</v>
      </c>
      <c r="E2734" t="s">
        <v>116</v>
      </c>
      <c r="F2734" t="s">
        <v>117</v>
      </c>
      <c r="H2734" t="s">
        <v>720</v>
      </c>
      <c r="I2734" t="str">
        <f>"101570001108604"</f>
        <v>101570001108604</v>
      </c>
      <c r="J2734" t="str">
        <f t="shared" si="517"/>
        <v>48205</v>
      </c>
      <c r="K2734" t="s">
        <v>20</v>
      </c>
      <c r="L2734">
        <v>49</v>
      </c>
      <c r="M2734">
        <v>49</v>
      </c>
      <c r="N2734">
        <v>0</v>
      </c>
      <c r="O2734" s="1">
        <v>45582.349166666667</v>
      </c>
      <c r="P2734" t="s">
        <v>122</v>
      </c>
    </row>
    <row r="2735" spans="1:16" x14ac:dyDescent="0.3">
      <c r="A2735" t="s">
        <v>25</v>
      </c>
      <c r="B2735" s="1">
        <v>45582.34915509259</v>
      </c>
      <c r="C2735" t="str">
        <f t="shared" si="516"/>
        <v>41</v>
      </c>
      <c r="D2735" t="s">
        <v>120</v>
      </c>
      <c r="E2735" t="s">
        <v>116</v>
      </c>
      <c r="F2735" t="s">
        <v>117</v>
      </c>
      <c r="H2735" t="s">
        <v>720</v>
      </c>
      <c r="I2735" t="str">
        <f>"101570001108672"</f>
        <v>101570001108672</v>
      </c>
      <c r="J2735" t="str">
        <f t="shared" si="517"/>
        <v>48205</v>
      </c>
      <c r="K2735" t="s">
        <v>20</v>
      </c>
      <c r="L2735">
        <v>49</v>
      </c>
      <c r="M2735">
        <v>49</v>
      </c>
      <c r="N2735">
        <v>0</v>
      </c>
      <c r="O2735" s="1">
        <v>45582.34915509259</v>
      </c>
      <c r="P2735" t="s">
        <v>122</v>
      </c>
    </row>
    <row r="2736" spans="1:16" x14ac:dyDescent="0.3">
      <c r="A2736" t="s">
        <v>25</v>
      </c>
      <c r="B2736" s="1">
        <v>45582.34915509259</v>
      </c>
      <c r="C2736" t="str">
        <f t="shared" si="516"/>
        <v>41</v>
      </c>
      <c r="D2736" t="s">
        <v>120</v>
      </c>
      <c r="E2736" t="s">
        <v>116</v>
      </c>
      <c r="F2736" t="s">
        <v>117</v>
      </c>
      <c r="H2736" t="s">
        <v>720</v>
      </c>
      <c r="I2736" t="str">
        <f>"101570001108605"</f>
        <v>101570001108605</v>
      </c>
      <c r="J2736" t="str">
        <f t="shared" si="517"/>
        <v>48205</v>
      </c>
      <c r="K2736" t="s">
        <v>20</v>
      </c>
      <c r="L2736">
        <v>49</v>
      </c>
      <c r="M2736">
        <v>49</v>
      </c>
      <c r="N2736">
        <v>0</v>
      </c>
      <c r="O2736" s="1">
        <v>45582.34915509259</v>
      </c>
      <c r="P2736" t="s">
        <v>122</v>
      </c>
    </row>
    <row r="2737" spans="1:16" x14ac:dyDescent="0.3">
      <c r="A2737" t="s">
        <v>25</v>
      </c>
      <c r="B2737" s="1">
        <v>45582.34915509259</v>
      </c>
      <c r="C2737" t="str">
        <f t="shared" si="516"/>
        <v>41</v>
      </c>
      <c r="D2737" t="s">
        <v>120</v>
      </c>
      <c r="E2737" t="s">
        <v>116</v>
      </c>
      <c r="F2737" t="s">
        <v>117</v>
      </c>
      <c r="H2737" t="s">
        <v>720</v>
      </c>
      <c r="I2737" t="str">
        <f>"101570001108376"</f>
        <v>101570001108376</v>
      </c>
      <c r="J2737" t="str">
        <f t="shared" si="517"/>
        <v>48205</v>
      </c>
      <c r="K2737" t="s">
        <v>20</v>
      </c>
      <c r="L2737">
        <v>49</v>
      </c>
      <c r="M2737">
        <v>49</v>
      </c>
      <c r="N2737">
        <v>0</v>
      </c>
      <c r="O2737" s="1">
        <v>45582.34915509259</v>
      </c>
      <c r="P2737" t="s">
        <v>122</v>
      </c>
    </row>
    <row r="2738" spans="1:16" x14ac:dyDescent="0.3">
      <c r="A2738" t="s">
        <v>25</v>
      </c>
      <c r="B2738" s="1">
        <v>45582.34915509259</v>
      </c>
      <c r="C2738" t="str">
        <f t="shared" si="516"/>
        <v>41</v>
      </c>
      <c r="D2738" t="s">
        <v>120</v>
      </c>
      <c r="E2738" t="s">
        <v>116</v>
      </c>
      <c r="F2738" t="s">
        <v>117</v>
      </c>
      <c r="H2738" t="s">
        <v>720</v>
      </c>
      <c r="I2738" t="str">
        <f>"101570001108379"</f>
        <v>101570001108379</v>
      </c>
      <c r="J2738" t="str">
        <f t="shared" si="517"/>
        <v>48205</v>
      </c>
      <c r="K2738" t="s">
        <v>20</v>
      </c>
      <c r="L2738">
        <v>49</v>
      </c>
      <c r="M2738">
        <v>49</v>
      </c>
      <c r="N2738">
        <v>0</v>
      </c>
      <c r="O2738" s="1">
        <v>45582.34915509259</v>
      </c>
      <c r="P2738" t="s">
        <v>122</v>
      </c>
    </row>
    <row r="2739" spans="1:16" x14ac:dyDescent="0.3">
      <c r="A2739" t="s">
        <v>25</v>
      </c>
      <c r="B2739" s="1">
        <v>45582.34915509259</v>
      </c>
      <c r="C2739" t="str">
        <f t="shared" si="516"/>
        <v>41</v>
      </c>
      <c r="D2739" t="s">
        <v>120</v>
      </c>
      <c r="E2739" t="s">
        <v>116</v>
      </c>
      <c r="F2739" t="s">
        <v>117</v>
      </c>
      <c r="H2739" t="s">
        <v>720</v>
      </c>
      <c r="I2739" t="str">
        <f>"101570001106865"</f>
        <v>101570001106865</v>
      </c>
      <c r="J2739" t="str">
        <f t="shared" si="517"/>
        <v>48205</v>
      </c>
      <c r="K2739" t="s">
        <v>20</v>
      </c>
      <c r="L2739">
        <v>49</v>
      </c>
      <c r="M2739">
        <v>49</v>
      </c>
      <c r="N2739">
        <v>0</v>
      </c>
      <c r="O2739" s="1">
        <v>45582.34915509259</v>
      </c>
      <c r="P2739" t="s">
        <v>122</v>
      </c>
    </row>
    <row r="2740" spans="1:16" x14ac:dyDescent="0.3">
      <c r="A2740" t="s">
        <v>25</v>
      </c>
      <c r="B2740" s="1">
        <v>45582.352048611108</v>
      </c>
      <c r="C2740" t="str">
        <f>"38"</f>
        <v>38</v>
      </c>
      <c r="D2740" t="s">
        <v>115</v>
      </c>
      <c r="E2740" t="s">
        <v>116</v>
      </c>
      <c r="F2740" t="s">
        <v>117</v>
      </c>
      <c r="H2740" t="s">
        <v>721</v>
      </c>
      <c r="L2740">
        <v>0</v>
      </c>
      <c r="M2740">
        <v>0</v>
      </c>
      <c r="N2740">
        <v>0</v>
      </c>
      <c r="O2740" s="1">
        <v>45582.352048611108</v>
      </c>
      <c r="P2740" t="s">
        <v>125</v>
      </c>
    </row>
    <row r="2741" spans="1:16" x14ac:dyDescent="0.3">
      <c r="A2741" t="s">
        <v>25</v>
      </c>
      <c r="B2741" s="1">
        <v>45582.352037037039</v>
      </c>
      <c r="C2741" t="str">
        <f t="shared" ref="C2741:C2747" si="518">"41"</f>
        <v>41</v>
      </c>
      <c r="D2741" t="s">
        <v>120</v>
      </c>
      <c r="E2741" t="s">
        <v>116</v>
      </c>
      <c r="F2741" t="s">
        <v>117</v>
      </c>
      <c r="H2741" t="s">
        <v>721</v>
      </c>
      <c r="I2741" t="str">
        <f>"101570001112059"</f>
        <v>101570001112059</v>
      </c>
      <c r="J2741" t="str">
        <f t="shared" ref="J2741:J2747" si="519">"48205"</f>
        <v>48205</v>
      </c>
      <c r="K2741" t="s">
        <v>20</v>
      </c>
      <c r="L2741">
        <v>49</v>
      </c>
      <c r="M2741">
        <v>49</v>
      </c>
      <c r="N2741">
        <v>0</v>
      </c>
      <c r="O2741" s="1">
        <v>45582.352037037039</v>
      </c>
      <c r="P2741" t="s">
        <v>125</v>
      </c>
    </row>
    <row r="2742" spans="1:16" x14ac:dyDescent="0.3">
      <c r="A2742" t="s">
        <v>25</v>
      </c>
      <c r="B2742" s="1">
        <v>45582.352037037039</v>
      </c>
      <c r="C2742" t="str">
        <f t="shared" si="518"/>
        <v>41</v>
      </c>
      <c r="D2742" t="s">
        <v>120</v>
      </c>
      <c r="E2742" t="s">
        <v>116</v>
      </c>
      <c r="F2742" t="s">
        <v>117</v>
      </c>
      <c r="H2742" t="s">
        <v>721</v>
      </c>
      <c r="I2742" t="str">
        <f>"101570001112025"</f>
        <v>101570001112025</v>
      </c>
      <c r="J2742" t="str">
        <f t="shared" si="519"/>
        <v>48205</v>
      </c>
      <c r="K2742" t="s">
        <v>20</v>
      </c>
      <c r="L2742">
        <v>49</v>
      </c>
      <c r="M2742">
        <v>49</v>
      </c>
      <c r="N2742">
        <v>0</v>
      </c>
      <c r="O2742" s="1">
        <v>45582.352037037039</v>
      </c>
      <c r="P2742" t="s">
        <v>125</v>
      </c>
    </row>
    <row r="2743" spans="1:16" x14ac:dyDescent="0.3">
      <c r="A2743" t="s">
        <v>25</v>
      </c>
      <c r="B2743" s="1">
        <v>45582.352037037039</v>
      </c>
      <c r="C2743" t="str">
        <f t="shared" si="518"/>
        <v>41</v>
      </c>
      <c r="D2743" t="s">
        <v>120</v>
      </c>
      <c r="E2743" t="s">
        <v>116</v>
      </c>
      <c r="F2743" t="s">
        <v>117</v>
      </c>
      <c r="H2743" t="s">
        <v>721</v>
      </c>
      <c r="I2743" t="str">
        <f>"101570001112260"</f>
        <v>101570001112260</v>
      </c>
      <c r="J2743" t="str">
        <f t="shared" si="519"/>
        <v>48205</v>
      </c>
      <c r="K2743" t="s">
        <v>20</v>
      </c>
      <c r="L2743">
        <v>49</v>
      </c>
      <c r="M2743">
        <v>49</v>
      </c>
      <c r="N2743">
        <v>0</v>
      </c>
      <c r="O2743" s="1">
        <v>45582.352037037039</v>
      </c>
      <c r="P2743" t="s">
        <v>125</v>
      </c>
    </row>
    <row r="2744" spans="1:16" x14ac:dyDescent="0.3">
      <c r="A2744" t="s">
        <v>25</v>
      </c>
      <c r="B2744" s="1">
        <v>45582.352037037039</v>
      </c>
      <c r="C2744" t="str">
        <f t="shared" si="518"/>
        <v>41</v>
      </c>
      <c r="D2744" t="s">
        <v>120</v>
      </c>
      <c r="E2744" t="s">
        <v>116</v>
      </c>
      <c r="F2744" t="s">
        <v>117</v>
      </c>
      <c r="H2744" t="s">
        <v>721</v>
      </c>
      <c r="I2744" t="str">
        <f>"101570001112322"</f>
        <v>101570001112322</v>
      </c>
      <c r="J2744" t="str">
        <f t="shared" si="519"/>
        <v>48205</v>
      </c>
      <c r="K2744" t="s">
        <v>20</v>
      </c>
      <c r="L2744">
        <v>49</v>
      </c>
      <c r="M2744">
        <v>49</v>
      </c>
      <c r="N2744">
        <v>0</v>
      </c>
      <c r="O2744" s="1">
        <v>45582.352037037039</v>
      </c>
      <c r="P2744" t="s">
        <v>125</v>
      </c>
    </row>
    <row r="2745" spans="1:16" x14ac:dyDescent="0.3">
      <c r="A2745" t="s">
        <v>25</v>
      </c>
      <c r="B2745" s="1">
        <v>45582.352037037039</v>
      </c>
      <c r="C2745" t="str">
        <f t="shared" si="518"/>
        <v>41</v>
      </c>
      <c r="D2745" t="s">
        <v>120</v>
      </c>
      <c r="E2745" t="s">
        <v>116</v>
      </c>
      <c r="F2745" t="s">
        <v>117</v>
      </c>
      <c r="H2745" t="s">
        <v>721</v>
      </c>
      <c r="I2745" t="str">
        <f>"101570001108335"</f>
        <v>101570001108335</v>
      </c>
      <c r="J2745" t="str">
        <f t="shared" si="519"/>
        <v>48205</v>
      </c>
      <c r="K2745" t="s">
        <v>20</v>
      </c>
      <c r="L2745">
        <v>49</v>
      </c>
      <c r="M2745">
        <v>49</v>
      </c>
      <c r="N2745">
        <v>0</v>
      </c>
      <c r="O2745" s="1">
        <v>45582.352037037039</v>
      </c>
      <c r="P2745" t="s">
        <v>125</v>
      </c>
    </row>
    <row r="2746" spans="1:16" x14ac:dyDescent="0.3">
      <c r="A2746" t="s">
        <v>25</v>
      </c>
      <c r="B2746" s="1">
        <v>45582.352037037039</v>
      </c>
      <c r="C2746" t="str">
        <f t="shared" si="518"/>
        <v>41</v>
      </c>
      <c r="D2746" t="s">
        <v>120</v>
      </c>
      <c r="E2746" t="s">
        <v>116</v>
      </c>
      <c r="F2746" t="s">
        <v>117</v>
      </c>
      <c r="H2746" t="s">
        <v>721</v>
      </c>
      <c r="I2746" t="str">
        <f>"101570001108341"</f>
        <v>101570001108341</v>
      </c>
      <c r="J2746" t="str">
        <f t="shared" si="519"/>
        <v>48205</v>
      </c>
      <c r="K2746" t="s">
        <v>20</v>
      </c>
      <c r="L2746">
        <v>49</v>
      </c>
      <c r="M2746">
        <v>49</v>
      </c>
      <c r="N2746">
        <v>0</v>
      </c>
      <c r="O2746" s="1">
        <v>45582.352037037039</v>
      </c>
      <c r="P2746" t="s">
        <v>125</v>
      </c>
    </row>
    <row r="2747" spans="1:16" x14ac:dyDescent="0.3">
      <c r="A2747" t="s">
        <v>25</v>
      </c>
      <c r="B2747" s="1">
        <v>45582.352037037039</v>
      </c>
      <c r="C2747" t="str">
        <f t="shared" si="518"/>
        <v>41</v>
      </c>
      <c r="D2747" t="s">
        <v>120</v>
      </c>
      <c r="E2747" t="s">
        <v>116</v>
      </c>
      <c r="F2747" t="s">
        <v>117</v>
      </c>
      <c r="H2747" t="s">
        <v>721</v>
      </c>
      <c r="I2747" t="str">
        <f>"101570001108484"</f>
        <v>101570001108484</v>
      </c>
      <c r="J2747" t="str">
        <f t="shared" si="519"/>
        <v>48205</v>
      </c>
      <c r="K2747" t="s">
        <v>20</v>
      </c>
      <c r="L2747">
        <v>49</v>
      </c>
      <c r="M2747">
        <v>49</v>
      </c>
      <c r="N2747">
        <v>0</v>
      </c>
      <c r="O2747" s="1">
        <v>45582.352037037039</v>
      </c>
      <c r="P2747" t="s">
        <v>125</v>
      </c>
    </row>
    <row r="2748" spans="1:16" x14ac:dyDescent="0.3">
      <c r="A2748" t="s">
        <v>25</v>
      </c>
      <c r="B2748" s="1">
        <v>45582.34746527778</v>
      </c>
      <c r="C2748" t="str">
        <f>"38"</f>
        <v>38</v>
      </c>
      <c r="D2748" t="s">
        <v>115</v>
      </c>
      <c r="E2748" t="s">
        <v>116</v>
      </c>
      <c r="F2748" t="s">
        <v>117</v>
      </c>
      <c r="H2748" t="s">
        <v>722</v>
      </c>
      <c r="L2748">
        <v>0</v>
      </c>
      <c r="M2748">
        <v>0</v>
      </c>
      <c r="N2748">
        <v>0</v>
      </c>
      <c r="O2748" s="1">
        <v>45582.34746527778</v>
      </c>
      <c r="P2748" t="s">
        <v>138</v>
      </c>
    </row>
    <row r="2749" spans="1:16" x14ac:dyDescent="0.3">
      <c r="A2749" t="s">
        <v>25</v>
      </c>
      <c r="B2749" s="1">
        <v>45582.34746527778</v>
      </c>
      <c r="C2749" t="str">
        <f t="shared" ref="C2749:C2755" si="520">"41"</f>
        <v>41</v>
      </c>
      <c r="D2749" t="s">
        <v>120</v>
      </c>
      <c r="E2749" t="s">
        <v>116</v>
      </c>
      <c r="F2749" t="s">
        <v>117</v>
      </c>
      <c r="H2749" t="s">
        <v>722</v>
      </c>
      <c r="I2749" t="str">
        <f>"101050002003020"</f>
        <v>101050002003020</v>
      </c>
      <c r="J2749" t="str">
        <f t="shared" ref="J2749:J2755" si="521">"128827"</f>
        <v>128827</v>
      </c>
      <c r="K2749" t="s">
        <v>73</v>
      </c>
      <c r="L2749">
        <v>49</v>
      </c>
      <c r="M2749">
        <v>49</v>
      </c>
      <c r="N2749">
        <v>0</v>
      </c>
      <c r="O2749" s="1">
        <v>45582.34746527778</v>
      </c>
      <c r="P2749" t="s">
        <v>138</v>
      </c>
    </row>
    <row r="2750" spans="1:16" x14ac:dyDescent="0.3">
      <c r="A2750" t="s">
        <v>25</v>
      </c>
      <c r="B2750" s="1">
        <v>45582.34746527778</v>
      </c>
      <c r="C2750" t="str">
        <f t="shared" si="520"/>
        <v>41</v>
      </c>
      <c r="D2750" t="s">
        <v>120</v>
      </c>
      <c r="E2750" t="s">
        <v>116</v>
      </c>
      <c r="F2750" t="s">
        <v>117</v>
      </c>
      <c r="H2750" t="s">
        <v>722</v>
      </c>
      <c r="I2750" t="str">
        <f>"101050002003019"</f>
        <v>101050002003019</v>
      </c>
      <c r="J2750" t="str">
        <f t="shared" si="521"/>
        <v>128827</v>
      </c>
      <c r="K2750" t="s">
        <v>73</v>
      </c>
      <c r="L2750">
        <v>49</v>
      </c>
      <c r="M2750">
        <v>49</v>
      </c>
      <c r="N2750">
        <v>0</v>
      </c>
      <c r="O2750" s="1">
        <v>45582.34746527778</v>
      </c>
      <c r="P2750" t="s">
        <v>138</v>
      </c>
    </row>
    <row r="2751" spans="1:16" x14ac:dyDescent="0.3">
      <c r="A2751" t="s">
        <v>25</v>
      </c>
      <c r="B2751" s="1">
        <v>45582.34746527778</v>
      </c>
      <c r="C2751" t="str">
        <f t="shared" si="520"/>
        <v>41</v>
      </c>
      <c r="D2751" t="s">
        <v>120</v>
      </c>
      <c r="E2751" t="s">
        <v>116</v>
      </c>
      <c r="F2751" t="s">
        <v>117</v>
      </c>
      <c r="H2751" t="s">
        <v>722</v>
      </c>
      <c r="I2751" t="str">
        <f>"101050002002865"</f>
        <v>101050002002865</v>
      </c>
      <c r="J2751" t="str">
        <f t="shared" si="521"/>
        <v>128827</v>
      </c>
      <c r="K2751" t="s">
        <v>73</v>
      </c>
      <c r="L2751">
        <v>49</v>
      </c>
      <c r="M2751">
        <v>49</v>
      </c>
      <c r="N2751">
        <v>0</v>
      </c>
      <c r="O2751" s="1">
        <v>45582.34746527778</v>
      </c>
      <c r="P2751" t="s">
        <v>138</v>
      </c>
    </row>
    <row r="2752" spans="1:16" x14ac:dyDescent="0.3">
      <c r="A2752" t="s">
        <v>25</v>
      </c>
      <c r="B2752" s="1">
        <v>45582.34746527778</v>
      </c>
      <c r="C2752" t="str">
        <f t="shared" si="520"/>
        <v>41</v>
      </c>
      <c r="D2752" t="s">
        <v>120</v>
      </c>
      <c r="E2752" t="s">
        <v>116</v>
      </c>
      <c r="F2752" t="s">
        <v>117</v>
      </c>
      <c r="H2752" t="s">
        <v>722</v>
      </c>
      <c r="I2752" t="str">
        <f>"101050002002823"</f>
        <v>101050002002823</v>
      </c>
      <c r="J2752" t="str">
        <f t="shared" si="521"/>
        <v>128827</v>
      </c>
      <c r="K2752" t="s">
        <v>73</v>
      </c>
      <c r="L2752">
        <v>49</v>
      </c>
      <c r="M2752">
        <v>49</v>
      </c>
      <c r="N2752">
        <v>0</v>
      </c>
      <c r="O2752" s="1">
        <v>45582.34746527778</v>
      </c>
      <c r="P2752" t="s">
        <v>138</v>
      </c>
    </row>
    <row r="2753" spans="1:16" x14ac:dyDescent="0.3">
      <c r="A2753" t="s">
        <v>25</v>
      </c>
      <c r="B2753" s="1">
        <v>45582.34746527778</v>
      </c>
      <c r="C2753" t="str">
        <f t="shared" si="520"/>
        <v>41</v>
      </c>
      <c r="D2753" t="s">
        <v>120</v>
      </c>
      <c r="E2753" t="s">
        <v>116</v>
      </c>
      <c r="F2753" t="s">
        <v>117</v>
      </c>
      <c r="H2753" t="s">
        <v>722</v>
      </c>
      <c r="I2753" t="str">
        <f>"101050002003021"</f>
        <v>101050002003021</v>
      </c>
      <c r="J2753" t="str">
        <f t="shared" si="521"/>
        <v>128827</v>
      </c>
      <c r="K2753" t="s">
        <v>73</v>
      </c>
      <c r="L2753">
        <v>49</v>
      </c>
      <c r="M2753">
        <v>49</v>
      </c>
      <c r="N2753">
        <v>0</v>
      </c>
      <c r="O2753" s="1">
        <v>45582.34746527778</v>
      </c>
      <c r="P2753" t="s">
        <v>138</v>
      </c>
    </row>
    <row r="2754" spans="1:16" x14ac:dyDescent="0.3">
      <c r="A2754" t="s">
        <v>25</v>
      </c>
      <c r="B2754" s="1">
        <v>45582.34746527778</v>
      </c>
      <c r="C2754" t="str">
        <f t="shared" si="520"/>
        <v>41</v>
      </c>
      <c r="D2754" t="s">
        <v>120</v>
      </c>
      <c r="E2754" t="s">
        <v>116</v>
      </c>
      <c r="F2754" t="s">
        <v>117</v>
      </c>
      <c r="H2754" t="s">
        <v>722</v>
      </c>
      <c r="I2754" t="str">
        <f>"101050002003001"</f>
        <v>101050002003001</v>
      </c>
      <c r="J2754" t="str">
        <f t="shared" si="521"/>
        <v>128827</v>
      </c>
      <c r="K2754" t="s">
        <v>73</v>
      </c>
      <c r="L2754">
        <v>49</v>
      </c>
      <c r="M2754">
        <v>49</v>
      </c>
      <c r="N2754">
        <v>0</v>
      </c>
      <c r="O2754" s="1">
        <v>45582.34746527778</v>
      </c>
      <c r="P2754" t="s">
        <v>138</v>
      </c>
    </row>
    <row r="2755" spans="1:16" x14ac:dyDescent="0.3">
      <c r="A2755" t="s">
        <v>25</v>
      </c>
      <c r="B2755" s="1">
        <v>45582.34746527778</v>
      </c>
      <c r="C2755" t="str">
        <f t="shared" si="520"/>
        <v>41</v>
      </c>
      <c r="D2755" t="s">
        <v>120</v>
      </c>
      <c r="E2755" t="s">
        <v>116</v>
      </c>
      <c r="F2755" t="s">
        <v>117</v>
      </c>
      <c r="H2755" t="s">
        <v>722</v>
      </c>
      <c r="I2755" t="str">
        <f>"101050002003015"</f>
        <v>101050002003015</v>
      </c>
      <c r="J2755" t="str">
        <f t="shared" si="521"/>
        <v>128827</v>
      </c>
      <c r="K2755" t="s">
        <v>73</v>
      </c>
      <c r="L2755">
        <v>49</v>
      </c>
      <c r="M2755">
        <v>49</v>
      </c>
      <c r="N2755">
        <v>0</v>
      </c>
      <c r="O2755" s="1">
        <v>45582.34746527778</v>
      </c>
      <c r="P2755" t="s">
        <v>138</v>
      </c>
    </row>
    <row r="2756" spans="1:16" x14ac:dyDescent="0.3">
      <c r="A2756" t="s">
        <v>25</v>
      </c>
      <c r="B2756" s="1">
        <v>45582.347384259258</v>
      </c>
      <c r="C2756" t="str">
        <f>"38"</f>
        <v>38</v>
      </c>
      <c r="D2756" t="s">
        <v>115</v>
      </c>
      <c r="E2756" t="s">
        <v>116</v>
      </c>
      <c r="F2756" t="s">
        <v>117</v>
      </c>
      <c r="H2756" t="s">
        <v>723</v>
      </c>
      <c r="L2756">
        <v>0</v>
      </c>
      <c r="M2756">
        <v>0</v>
      </c>
      <c r="N2756">
        <v>0</v>
      </c>
      <c r="O2756" s="1">
        <v>45582.347384259258</v>
      </c>
      <c r="P2756" t="s">
        <v>119</v>
      </c>
    </row>
    <row r="2757" spans="1:16" x14ac:dyDescent="0.3">
      <c r="A2757" t="s">
        <v>25</v>
      </c>
      <c r="B2757" s="1">
        <v>45582.347384259258</v>
      </c>
      <c r="C2757" t="str">
        <f>"41"</f>
        <v>41</v>
      </c>
      <c r="D2757" t="s">
        <v>120</v>
      </c>
      <c r="E2757" t="s">
        <v>116</v>
      </c>
      <c r="F2757" t="s">
        <v>117</v>
      </c>
      <c r="H2757" t="s">
        <v>723</v>
      </c>
      <c r="I2757" t="str">
        <f>"101570001111381"</f>
        <v>101570001111381</v>
      </c>
      <c r="J2757" t="str">
        <f>"128429"</f>
        <v>128429</v>
      </c>
      <c r="K2757" t="s">
        <v>724</v>
      </c>
      <c r="L2757">
        <v>49</v>
      </c>
      <c r="M2757">
        <v>49</v>
      </c>
      <c r="N2757">
        <v>0</v>
      </c>
      <c r="O2757" s="1">
        <v>45582.347384259258</v>
      </c>
      <c r="P2757" t="s">
        <v>119</v>
      </c>
    </row>
    <row r="2758" spans="1:16" x14ac:dyDescent="0.3">
      <c r="A2758" t="s">
        <v>25</v>
      </c>
      <c r="B2758" s="1">
        <v>45582.347384259258</v>
      </c>
      <c r="C2758" t="str">
        <f>"41"</f>
        <v>41</v>
      </c>
      <c r="D2758" t="s">
        <v>120</v>
      </c>
      <c r="E2758" t="s">
        <v>116</v>
      </c>
      <c r="F2758" t="s">
        <v>117</v>
      </c>
      <c r="H2758" t="s">
        <v>723</v>
      </c>
      <c r="I2758" t="str">
        <f>"101570001111308"</f>
        <v>101570001111308</v>
      </c>
      <c r="J2758" t="str">
        <f>"128429"</f>
        <v>128429</v>
      </c>
      <c r="K2758" t="s">
        <v>724</v>
      </c>
      <c r="L2758">
        <v>49</v>
      </c>
      <c r="M2758">
        <v>49</v>
      </c>
      <c r="N2758">
        <v>0</v>
      </c>
      <c r="O2758" s="1">
        <v>45582.347384259258</v>
      </c>
      <c r="P2758" t="s">
        <v>119</v>
      </c>
    </row>
    <row r="2759" spans="1:16" x14ac:dyDescent="0.3">
      <c r="A2759" t="s">
        <v>25</v>
      </c>
      <c r="B2759" s="1">
        <v>45582.347118055557</v>
      </c>
      <c r="C2759" t="str">
        <f>"38"</f>
        <v>38</v>
      </c>
      <c r="D2759" t="s">
        <v>115</v>
      </c>
      <c r="E2759" t="s">
        <v>116</v>
      </c>
      <c r="F2759" t="s">
        <v>117</v>
      </c>
      <c r="H2759" t="s">
        <v>725</v>
      </c>
      <c r="L2759">
        <v>0</v>
      </c>
      <c r="M2759">
        <v>0</v>
      </c>
      <c r="N2759">
        <v>0</v>
      </c>
      <c r="O2759" s="1">
        <v>45582.347118055557</v>
      </c>
      <c r="P2759" t="s">
        <v>119</v>
      </c>
    </row>
    <row r="2760" spans="1:16" x14ac:dyDescent="0.3">
      <c r="A2760" t="s">
        <v>25</v>
      </c>
      <c r="B2760" s="1">
        <v>45582.347118055557</v>
      </c>
      <c r="C2760" t="str">
        <f>"41"</f>
        <v>41</v>
      </c>
      <c r="D2760" t="s">
        <v>120</v>
      </c>
      <c r="E2760" t="s">
        <v>116</v>
      </c>
      <c r="F2760" t="s">
        <v>117</v>
      </c>
      <c r="H2760" t="s">
        <v>725</v>
      </c>
      <c r="I2760" t="str">
        <f>"101050002011899"</f>
        <v>101050002011899</v>
      </c>
      <c r="J2760" t="str">
        <f>"31088"</f>
        <v>31088</v>
      </c>
      <c r="K2760" t="s">
        <v>75</v>
      </c>
      <c r="L2760">
        <v>49</v>
      </c>
      <c r="M2760">
        <v>49</v>
      </c>
      <c r="N2760">
        <v>0</v>
      </c>
      <c r="O2760" s="1">
        <v>45582.347118055557</v>
      </c>
      <c r="P2760" t="s">
        <v>119</v>
      </c>
    </row>
    <row r="2761" spans="1:16" x14ac:dyDescent="0.3">
      <c r="A2761" t="s">
        <v>25</v>
      </c>
      <c r="B2761" s="1">
        <v>45582.347118055557</v>
      </c>
      <c r="C2761" t="str">
        <f>"41"</f>
        <v>41</v>
      </c>
      <c r="D2761" t="s">
        <v>120</v>
      </c>
      <c r="E2761" t="s">
        <v>116</v>
      </c>
      <c r="F2761" t="s">
        <v>117</v>
      </c>
      <c r="H2761" t="s">
        <v>725</v>
      </c>
      <c r="I2761" t="str">
        <f>"101050002011898"</f>
        <v>101050002011898</v>
      </c>
      <c r="J2761" t="str">
        <f>"31088"</f>
        <v>31088</v>
      </c>
      <c r="K2761" t="s">
        <v>75</v>
      </c>
      <c r="L2761">
        <v>49</v>
      </c>
      <c r="M2761">
        <v>49</v>
      </c>
      <c r="N2761">
        <v>0</v>
      </c>
      <c r="O2761" s="1">
        <v>45582.347118055557</v>
      </c>
      <c r="P2761" t="s">
        <v>119</v>
      </c>
    </row>
    <row r="2762" spans="1:16" x14ac:dyDescent="0.3">
      <c r="A2762" t="s">
        <v>25</v>
      </c>
      <c r="B2762" s="1">
        <v>45582.34710648148</v>
      </c>
      <c r="C2762" t="str">
        <f>"41"</f>
        <v>41</v>
      </c>
      <c r="D2762" t="s">
        <v>120</v>
      </c>
      <c r="E2762" t="s">
        <v>116</v>
      </c>
      <c r="F2762" t="s">
        <v>117</v>
      </c>
      <c r="H2762" t="s">
        <v>725</v>
      </c>
      <c r="I2762" t="str">
        <f>"101050002000208"</f>
        <v>101050002000208</v>
      </c>
      <c r="J2762" t="str">
        <f>"31088"</f>
        <v>31088</v>
      </c>
      <c r="K2762" t="s">
        <v>75</v>
      </c>
      <c r="L2762">
        <v>49</v>
      </c>
      <c r="M2762">
        <v>49</v>
      </c>
      <c r="N2762">
        <v>0</v>
      </c>
      <c r="O2762" s="1">
        <v>45582.34710648148</v>
      </c>
      <c r="P2762" t="s">
        <v>119</v>
      </c>
    </row>
    <row r="2763" spans="1:16" x14ac:dyDescent="0.3">
      <c r="A2763" t="s">
        <v>25</v>
      </c>
      <c r="B2763" s="1">
        <v>45582.34710648148</v>
      </c>
      <c r="C2763" t="str">
        <f>"41"</f>
        <v>41</v>
      </c>
      <c r="D2763" t="s">
        <v>120</v>
      </c>
      <c r="E2763" t="s">
        <v>116</v>
      </c>
      <c r="F2763" t="s">
        <v>117</v>
      </c>
      <c r="H2763" t="s">
        <v>725</v>
      </c>
      <c r="I2763" t="str">
        <f>"101050002000205"</f>
        <v>101050002000205</v>
      </c>
      <c r="J2763" t="str">
        <f>"31088"</f>
        <v>31088</v>
      </c>
      <c r="K2763" t="s">
        <v>75</v>
      </c>
      <c r="L2763">
        <v>49</v>
      </c>
      <c r="M2763">
        <v>49</v>
      </c>
      <c r="N2763">
        <v>0</v>
      </c>
      <c r="O2763" s="1">
        <v>45582.34710648148</v>
      </c>
      <c r="P2763" t="s">
        <v>119</v>
      </c>
    </row>
    <row r="2764" spans="1:16" x14ac:dyDescent="0.3">
      <c r="A2764" t="s">
        <v>25</v>
      </c>
      <c r="B2764" s="1">
        <v>45582.347002314818</v>
      </c>
      <c r="C2764" t="str">
        <f>"38"</f>
        <v>38</v>
      </c>
      <c r="D2764" t="s">
        <v>115</v>
      </c>
      <c r="E2764" t="s">
        <v>116</v>
      </c>
      <c r="F2764" t="s">
        <v>117</v>
      </c>
      <c r="H2764" t="s">
        <v>726</v>
      </c>
      <c r="L2764">
        <v>0</v>
      </c>
      <c r="M2764">
        <v>0</v>
      </c>
      <c r="N2764">
        <v>0</v>
      </c>
      <c r="O2764" s="1">
        <v>45582.347002314818</v>
      </c>
      <c r="P2764" t="s">
        <v>138</v>
      </c>
    </row>
    <row r="2765" spans="1:16" x14ac:dyDescent="0.3">
      <c r="A2765" t="s">
        <v>25</v>
      </c>
      <c r="B2765" s="1">
        <v>45582.347002314818</v>
      </c>
      <c r="C2765" t="str">
        <f t="shared" ref="C2765:C2771" si="522">"41"</f>
        <v>41</v>
      </c>
      <c r="D2765" t="s">
        <v>120</v>
      </c>
      <c r="E2765" t="s">
        <v>116</v>
      </c>
      <c r="F2765" t="s">
        <v>117</v>
      </c>
      <c r="H2765" t="s">
        <v>726</v>
      </c>
      <c r="I2765" t="str">
        <f>"101050002011669"</f>
        <v>101050002011669</v>
      </c>
      <c r="J2765" t="str">
        <f t="shared" ref="J2765:J2771" si="523">"125193"</f>
        <v>125193</v>
      </c>
      <c r="K2765" t="s">
        <v>43</v>
      </c>
      <c r="L2765">
        <v>49</v>
      </c>
      <c r="M2765">
        <v>49</v>
      </c>
      <c r="N2765">
        <v>0</v>
      </c>
      <c r="O2765" s="1">
        <v>45582.347002314818</v>
      </c>
      <c r="P2765" t="s">
        <v>138</v>
      </c>
    </row>
    <row r="2766" spans="1:16" x14ac:dyDescent="0.3">
      <c r="A2766" t="s">
        <v>25</v>
      </c>
      <c r="B2766" s="1">
        <v>45582.347002314818</v>
      </c>
      <c r="C2766" t="str">
        <f t="shared" si="522"/>
        <v>41</v>
      </c>
      <c r="D2766" t="s">
        <v>120</v>
      </c>
      <c r="E2766" t="s">
        <v>116</v>
      </c>
      <c r="F2766" t="s">
        <v>117</v>
      </c>
      <c r="H2766" t="s">
        <v>726</v>
      </c>
      <c r="I2766" t="str">
        <f>"101050002024581"</f>
        <v>101050002024581</v>
      </c>
      <c r="J2766" t="str">
        <f t="shared" si="523"/>
        <v>125193</v>
      </c>
      <c r="K2766" t="s">
        <v>43</v>
      </c>
      <c r="L2766">
        <v>49</v>
      </c>
      <c r="M2766">
        <v>49</v>
      </c>
      <c r="N2766">
        <v>0</v>
      </c>
      <c r="O2766" s="1">
        <v>45582.347002314818</v>
      </c>
      <c r="P2766" t="s">
        <v>138</v>
      </c>
    </row>
    <row r="2767" spans="1:16" x14ac:dyDescent="0.3">
      <c r="A2767" t="s">
        <v>25</v>
      </c>
      <c r="B2767" s="1">
        <v>45582.347002314818</v>
      </c>
      <c r="C2767" t="str">
        <f t="shared" si="522"/>
        <v>41</v>
      </c>
      <c r="D2767" t="s">
        <v>120</v>
      </c>
      <c r="E2767" t="s">
        <v>116</v>
      </c>
      <c r="F2767" t="s">
        <v>117</v>
      </c>
      <c r="H2767" t="s">
        <v>726</v>
      </c>
      <c r="I2767" t="str">
        <f>"101050002024660"</f>
        <v>101050002024660</v>
      </c>
      <c r="J2767" t="str">
        <f t="shared" si="523"/>
        <v>125193</v>
      </c>
      <c r="K2767" t="s">
        <v>43</v>
      </c>
      <c r="L2767">
        <v>49</v>
      </c>
      <c r="M2767">
        <v>49</v>
      </c>
      <c r="N2767">
        <v>0</v>
      </c>
      <c r="O2767" s="1">
        <v>45582.347002314818</v>
      </c>
      <c r="P2767" t="s">
        <v>138</v>
      </c>
    </row>
    <row r="2768" spans="1:16" x14ac:dyDescent="0.3">
      <c r="A2768" t="s">
        <v>25</v>
      </c>
      <c r="B2768" s="1">
        <v>45582.347002314818</v>
      </c>
      <c r="C2768" t="str">
        <f t="shared" si="522"/>
        <v>41</v>
      </c>
      <c r="D2768" t="s">
        <v>120</v>
      </c>
      <c r="E2768" t="s">
        <v>116</v>
      </c>
      <c r="F2768" t="s">
        <v>117</v>
      </c>
      <c r="H2768" t="s">
        <v>726</v>
      </c>
      <c r="I2768" t="str">
        <f>"101050002011658"</f>
        <v>101050002011658</v>
      </c>
      <c r="J2768" t="str">
        <f t="shared" si="523"/>
        <v>125193</v>
      </c>
      <c r="K2768" t="s">
        <v>43</v>
      </c>
      <c r="L2768">
        <v>49</v>
      </c>
      <c r="M2768">
        <v>49</v>
      </c>
      <c r="N2768">
        <v>0</v>
      </c>
      <c r="O2768" s="1">
        <v>45582.347002314818</v>
      </c>
      <c r="P2768" t="s">
        <v>138</v>
      </c>
    </row>
    <row r="2769" spans="1:16" x14ac:dyDescent="0.3">
      <c r="A2769" t="s">
        <v>25</v>
      </c>
      <c r="B2769" s="1">
        <v>45582.347002314818</v>
      </c>
      <c r="C2769" t="str">
        <f t="shared" si="522"/>
        <v>41</v>
      </c>
      <c r="D2769" t="s">
        <v>120</v>
      </c>
      <c r="E2769" t="s">
        <v>116</v>
      </c>
      <c r="F2769" t="s">
        <v>117</v>
      </c>
      <c r="H2769" t="s">
        <v>726</v>
      </c>
      <c r="I2769" t="str">
        <f>"101050002011659"</f>
        <v>101050002011659</v>
      </c>
      <c r="J2769" t="str">
        <f t="shared" si="523"/>
        <v>125193</v>
      </c>
      <c r="K2769" t="s">
        <v>43</v>
      </c>
      <c r="L2769">
        <v>49</v>
      </c>
      <c r="M2769">
        <v>49</v>
      </c>
      <c r="N2769">
        <v>0</v>
      </c>
      <c r="O2769" s="1">
        <v>45582.347002314818</v>
      </c>
      <c r="P2769" t="s">
        <v>138</v>
      </c>
    </row>
    <row r="2770" spans="1:16" x14ac:dyDescent="0.3">
      <c r="A2770" t="s">
        <v>25</v>
      </c>
      <c r="B2770" s="1">
        <v>45582.347002314818</v>
      </c>
      <c r="C2770" t="str">
        <f t="shared" si="522"/>
        <v>41</v>
      </c>
      <c r="D2770" t="s">
        <v>120</v>
      </c>
      <c r="E2770" t="s">
        <v>116</v>
      </c>
      <c r="F2770" t="s">
        <v>117</v>
      </c>
      <c r="H2770" t="s">
        <v>726</v>
      </c>
      <c r="I2770" t="str">
        <f>"101050002011790"</f>
        <v>101050002011790</v>
      </c>
      <c r="J2770" t="str">
        <f t="shared" si="523"/>
        <v>125193</v>
      </c>
      <c r="K2770" t="s">
        <v>43</v>
      </c>
      <c r="L2770">
        <v>49</v>
      </c>
      <c r="M2770">
        <v>49</v>
      </c>
      <c r="N2770">
        <v>0</v>
      </c>
      <c r="O2770" s="1">
        <v>45582.347002314818</v>
      </c>
      <c r="P2770" t="s">
        <v>138</v>
      </c>
    </row>
    <row r="2771" spans="1:16" x14ac:dyDescent="0.3">
      <c r="A2771" t="s">
        <v>25</v>
      </c>
      <c r="B2771" s="1">
        <v>45582.346990740742</v>
      </c>
      <c r="C2771" t="str">
        <f t="shared" si="522"/>
        <v>41</v>
      </c>
      <c r="D2771" t="s">
        <v>120</v>
      </c>
      <c r="E2771" t="s">
        <v>116</v>
      </c>
      <c r="F2771" t="s">
        <v>117</v>
      </c>
      <c r="H2771" t="s">
        <v>726</v>
      </c>
      <c r="I2771" t="str">
        <f>"101050002011681"</f>
        <v>101050002011681</v>
      </c>
      <c r="J2771" t="str">
        <f t="shared" si="523"/>
        <v>125193</v>
      </c>
      <c r="K2771" t="s">
        <v>43</v>
      </c>
      <c r="L2771">
        <v>49</v>
      </c>
      <c r="M2771">
        <v>49</v>
      </c>
      <c r="N2771">
        <v>0</v>
      </c>
      <c r="O2771" s="1">
        <v>45582.346990740742</v>
      </c>
      <c r="P2771" t="s">
        <v>138</v>
      </c>
    </row>
    <row r="2772" spans="1:16" x14ac:dyDescent="0.3">
      <c r="A2772" t="s">
        <v>25</v>
      </c>
      <c r="B2772" s="1">
        <v>45582.347881944443</v>
      </c>
      <c r="C2772" t="str">
        <f>"38"</f>
        <v>38</v>
      </c>
      <c r="D2772" t="s">
        <v>115</v>
      </c>
      <c r="E2772" t="s">
        <v>116</v>
      </c>
      <c r="F2772" t="s">
        <v>117</v>
      </c>
      <c r="H2772" t="s">
        <v>727</v>
      </c>
      <c r="L2772">
        <v>0</v>
      </c>
      <c r="M2772">
        <v>0</v>
      </c>
      <c r="N2772">
        <v>0</v>
      </c>
      <c r="O2772" s="1">
        <v>45582.347881944443</v>
      </c>
      <c r="P2772" t="s">
        <v>392</v>
      </c>
    </row>
    <row r="2773" spans="1:16" x14ac:dyDescent="0.3">
      <c r="A2773" t="s">
        <v>25</v>
      </c>
      <c r="B2773" s="1">
        <v>45582.347881944443</v>
      </c>
      <c r="C2773" t="str">
        <f>"41"</f>
        <v>41</v>
      </c>
      <c r="D2773" t="s">
        <v>120</v>
      </c>
      <c r="E2773" t="s">
        <v>116</v>
      </c>
      <c r="F2773" t="s">
        <v>117</v>
      </c>
      <c r="H2773" t="s">
        <v>727</v>
      </c>
      <c r="I2773" t="str">
        <f>"101050001964638"</f>
        <v>101050001964638</v>
      </c>
      <c r="J2773" t="str">
        <f>"127554"</f>
        <v>127554</v>
      </c>
      <c r="K2773" t="s">
        <v>61</v>
      </c>
      <c r="L2773">
        <v>96</v>
      </c>
      <c r="M2773">
        <v>96</v>
      </c>
      <c r="N2773">
        <v>0</v>
      </c>
      <c r="O2773" s="1">
        <v>45582.347881944443</v>
      </c>
      <c r="P2773" t="s">
        <v>392</v>
      </c>
    </row>
    <row r="2774" spans="1:16" x14ac:dyDescent="0.3">
      <c r="A2774" t="s">
        <v>25</v>
      </c>
      <c r="B2774" s="1">
        <v>45582.347812499997</v>
      </c>
      <c r="C2774" t="str">
        <f>"38"</f>
        <v>38</v>
      </c>
      <c r="D2774" t="s">
        <v>115</v>
      </c>
      <c r="E2774" t="s">
        <v>116</v>
      </c>
      <c r="F2774" t="s">
        <v>117</v>
      </c>
      <c r="H2774" t="s">
        <v>728</v>
      </c>
      <c r="L2774">
        <v>0</v>
      </c>
      <c r="M2774">
        <v>0</v>
      </c>
      <c r="N2774">
        <v>0</v>
      </c>
      <c r="O2774" s="1">
        <v>45582.347812499997</v>
      </c>
      <c r="P2774" t="s">
        <v>392</v>
      </c>
    </row>
    <row r="2775" spans="1:16" x14ac:dyDescent="0.3">
      <c r="A2775" t="s">
        <v>25</v>
      </c>
      <c r="B2775" s="1">
        <v>45582.347812499997</v>
      </c>
      <c r="C2775" t="str">
        <f>"41"</f>
        <v>41</v>
      </c>
      <c r="D2775" t="s">
        <v>120</v>
      </c>
      <c r="E2775" t="s">
        <v>116</v>
      </c>
      <c r="F2775" t="s">
        <v>117</v>
      </c>
      <c r="H2775" t="s">
        <v>728</v>
      </c>
      <c r="I2775" t="str">
        <f>"101050001989684"</f>
        <v>101050001989684</v>
      </c>
      <c r="J2775" t="str">
        <f>"124239"</f>
        <v>124239</v>
      </c>
      <c r="K2775" t="s">
        <v>32</v>
      </c>
      <c r="L2775">
        <v>91</v>
      </c>
      <c r="M2775">
        <v>91</v>
      </c>
      <c r="N2775">
        <v>0</v>
      </c>
      <c r="O2775" s="1">
        <v>45582.347812499997</v>
      </c>
      <c r="P2775" t="s">
        <v>392</v>
      </c>
    </row>
    <row r="2776" spans="1:16" x14ac:dyDescent="0.3">
      <c r="A2776" t="s">
        <v>25</v>
      </c>
      <c r="B2776" s="1">
        <v>45582.347800925927</v>
      </c>
      <c r="C2776" t="str">
        <f>"41"</f>
        <v>41</v>
      </c>
      <c r="D2776" t="s">
        <v>120</v>
      </c>
      <c r="E2776" t="s">
        <v>116</v>
      </c>
      <c r="F2776" t="s">
        <v>117</v>
      </c>
      <c r="H2776" t="s">
        <v>728</v>
      </c>
      <c r="I2776" t="str">
        <f>"101050001880810"</f>
        <v>101050001880810</v>
      </c>
      <c r="J2776" t="str">
        <f>"124239"</f>
        <v>124239</v>
      </c>
      <c r="K2776" t="s">
        <v>32</v>
      </c>
      <c r="L2776">
        <v>91</v>
      </c>
      <c r="M2776">
        <v>91</v>
      </c>
      <c r="N2776">
        <v>0</v>
      </c>
      <c r="O2776" s="1">
        <v>45582.347800925927</v>
      </c>
      <c r="P2776" t="s">
        <v>392</v>
      </c>
    </row>
    <row r="2777" spans="1:16" x14ac:dyDescent="0.3">
      <c r="A2777" t="s">
        <v>25</v>
      </c>
      <c r="B2777" s="1">
        <v>45582.347222222219</v>
      </c>
      <c r="C2777" t="str">
        <f>"38"</f>
        <v>38</v>
      </c>
      <c r="D2777" t="s">
        <v>115</v>
      </c>
      <c r="E2777" t="s">
        <v>116</v>
      </c>
      <c r="F2777" t="s">
        <v>117</v>
      </c>
      <c r="H2777" t="s">
        <v>729</v>
      </c>
      <c r="L2777">
        <v>0</v>
      </c>
      <c r="M2777">
        <v>0</v>
      </c>
      <c r="N2777">
        <v>0</v>
      </c>
      <c r="O2777" s="1">
        <v>45582.347222222219</v>
      </c>
      <c r="P2777" t="s">
        <v>392</v>
      </c>
    </row>
    <row r="2778" spans="1:16" x14ac:dyDescent="0.3">
      <c r="A2778" t="s">
        <v>25</v>
      </c>
      <c r="B2778" s="1">
        <v>45582.347222222219</v>
      </c>
      <c r="C2778" t="str">
        <f t="shared" ref="C2778:C2783" si="524">"41"</f>
        <v>41</v>
      </c>
      <c r="D2778" t="s">
        <v>120</v>
      </c>
      <c r="E2778" t="s">
        <v>116</v>
      </c>
      <c r="F2778" t="s">
        <v>117</v>
      </c>
      <c r="H2778" t="s">
        <v>729</v>
      </c>
      <c r="I2778" t="str">
        <f>"101050002023018"</f>
        <v>101050002023018</v>
      </c>
      <c r="J2778" t="str">
        <f t="shared" ref="J2778:J2783" si="525">"123258"</f>
        <v>123258</v>
      </c>
      <c r="K2778" t="s">
        <v>29</v>
      </c>
      <c r="L2778">
        <v>49</v>
      </c>
      <c r="M2778">
        <v>49</v>
      </c>
      <c r="N2778">
        <v>0</v>
      </c>
      <c r="O2778" s="1">
        <v>45582.347222222219</v>
      </c>
      <c r="P2778" t="s">
        <v>392</v>
      </c>
    </row>
    <row r="2779" spans="1:16" x14ac:dyDescent="0.3">
      <c r="A2779" t="s">
        <v>25</v>
      </c>
      <c r="B2779" s="1">
        <v>45582.347222222219</v>
      </c>
      <c r="C2779" t="str">
        <f t="shared" si="524"/>
        <v>41</v>
      </c>
      <c r="D2779" t="s">
        <v>120</v>
      </c>
      <c r="E2779" t="s">
        <v>116</v>
      </c>
      <c r="F2779" t="s">
        <v>117</v>
      </c>
      <c r="H2779" t="s">
        <v>729</v>
      </c>
      <c r="I2779" t="str">
        <f>"101050002016660"</f>
        <v>101050002016660</v>
      </c>
      <c r="J2779" t="str">
        <f t="shared" si="525"/>
        <v>123258</v>
      </c>
      <c r="K2779" t="s">
        <v>29</v>
      </c>
      <c r="L2779">
        <v>49</v>
      </c>
      <c r="M2779">
        <v>49</v>
      </c>
      <c r="N2779">
        <v>0</v>
      </c>
      <c r="O2779" s="1">
        <v>45582.347222222219</v>
      </c>
      <c r="P2779" t="s">
        <v>392</v>
      </c>
    </row>
    <row r="2780" spans="1:16" x14ac:dyDescent="0.3">
      <c r="A2780" t="s">
        <v>25</v>
      </c>
      <c r="B2780" s="1">
        <v>45582.347222222219</v>
      </c>
      <c r="C2780" t="str">
        <f t="shared" si="524"/>
        <v>41</v>
      </c>
      <c r="D2780" t="s">
        <v>120</v>
      </c>
      <c r="E2780" t="s">
        <v>116</v>
      </c>
      <c r="F2780" t="s">
        <v>117</v>
      </c>
      <c r="H2780" t="s">
        <v>729</v>
      </c>
      <c r="I2780" t="str">
        <f>"101050002016655"</f>
        <v>101050002016655</v>
      </c>
      <c r="J2780" t="str">
        <f t="shared" si="525"/>
        <v>123258</v>
      </c>
      <c r="K2780" t="s">
        <v>29</v>
      </c>
      <c r="L2780">
        <v>49</v>
      </c>
      <c r="M2780">
        <v>49</v>
      </c>
      <c r="N2780">
        <v>0</v>
      </c>
      <c r="O2780" s="1">
        <v>45582.347222222219</v>
      </c>
      <c r="P2780" t="s">
        <v>392</v>
      </c>
    </row>
    <row r="2781" spans="1:16" x14ac:dyDescent="0.3">
      <c r="A2781" t="s">
        <v>25</v>
      </c>
      <c r="B2781" s="1">
        <v>45582.347222222219</v>
      </c>
      <c r="C2781" t="str">
        <f t="shared" si="524"/>
        <v>41</v>
      </c>
      <c r="D2781" t="s">
        <v>120</v>
      </c>
      <c r="E2781" t="s">
        <v>116</v>
      </c>
      <c r="F2781" t="s">
        <v>117</v>
      </c>
      <c r="H2781" t="s">
        <v>729</v>
      </c>
      <c r="I2781" t="str">
        <f>"101050002023060"</f>
        <v>101050002023060</v>
      </c>
      <c r="J2781" t="str">
        <f t="shared" si="525"/>
        <v>123258</v>
      </c>
      <c r="K2781" t="s">
        <v>29</v>
      </c>
      <c r="L2781">
        <v>49</v>
      </c>
      <c r="M2781">
        <v>49</v>
      </c>
      <c r="N2781">
        <v>0</v>
      </c>
      <c r="O2781" s="1">
        <v>45582.347222222219</v>
      </c>
      <c r="P2781" t="s">
        <v>392</v>
      </c>
    </row>
    <row r="2782" spans="1:16" x14ac:dyDescent="0.3">
      <c r="A2782" t="s">
        <v>25</v>
      </c>
      <c r="B2782" s="1">
        <v>45582.347222222219</v>
      </c>
      <c r="C2782" t="str">
        <f t="shared" si="524"/>
        <v>41</v>
      </c>
      <c r="D2782" t="s">
        <v>120</v>
      </c>
      <c r="E2782" t="s">
        <v>116</v>
      </c>
      <c r="F2782" t="s">
        <v>117</v>
      </c>
      <c r="H2782" t="s">
        <v>729</v>
      </c>
      <c r="I2782" t="str">
        <f>"101050002016710"</f>
        <v>101050002016710</v>
      </c>
      <c r="J2782" t="str">
        <f t="shared" si="525"/>
        <v>123258</v>
      </c>
      <c r="K2782" t="s">
        <v>29</v>
      </c>
      <c r="L2782">
        <v>49</v>
      </c>
      <c r="M2782">
        <v>49</v>
      </c>
      <c r="N2782">
        <v>0</v>
      </c>
      <c r="O2782" s="1">
        <v>45582.347222222219</v>
      </c>
      <c r="P2782" t="s">
        <v>392</v>
      </c>
    </row>
    <row r="2783" spans="1:16" x14ac:dyDescent="0.3">
      <c r="A2783" t="s">
        <v>25</v>
      </c>
      <c r="B2783" s="1">
        <v>45582.347210648149</v>
      </c>
      <c r="C2783" t="str">
        <f t="shared" si="524"/>
        <v>41</v>
      </c>
      <c r="D2783" t="s">
        <v>120</v>
      </c>
      <c r="E2783" t="s">
        <v>116</v>
      </c>
      <c r="F2783" t="s">
        <v>117</v>
      </c>
      <c r="H2783" t="s">
        <v>729</v>
      </c>
      <c r="I2783" t="str">
        <f>"101050002023183"</f>
        <v>101050002023183</v>
      </c>
      <c r="J2783" t="str">
        <f t="shared" si="525"/>
        <v>123258</v>
      </c>
      <c r="K2783" t="s">
        <v>29</v>
      </c>
      <c r="L2783">
        <v>49</v>
      </c>
      <c r="M2783">
        <v>49</v>
      </c>
      <c r="N2783">
        <v>0</v>
      </c>
      <c r="O2783" s="1">
        <v>45582.347210648149</v>
      </c>
      <c r="P2783" t="s">
        <v>392</v>
      </c>
    </row>
    <row r="2784" spans="1:16" x14ac:dyDescent="0.3">
      <c r="A2784" t="s">
        <v>25</v>
      </c>
      <c r="B2784" s="1">
        <v>45582.346168981479</v>
      </c>
      <c r="C2784" t="str">
        <f>"38"</f>
        <v>38</v>
      </c>
      <c r="D2784" t="s">
        <v>115</v>
      </c>
      <c r="E2784" t="s">
        <v>116</v>
      </c>
      <c r="F2784" t="s">
        <v>117</v>
      </c>
      <c r="H2784" t="s">
        <v>730</v>
      </c>
      <c r="L2784">
        <v>0</v>
      </c>
      <c r="M2784">
        <v>0</v>
      </c>
      <c r="N2784">
        <v>0</v>
      </c>
      <c r="O2784" s="1">
        <v>45582.346168981479</v>
      </c>
      <c r="P2784" t="s">
        <v>125</v>
      </c>
    </row>
    <row r="2785" spans="1:16" x14ac:dyDescent="0.3">
      <c r="A2785" t="s">
        <v>25</v>
      </c>
      <c r="B2785" s="1">
        <v>45582.346168981479</v>
      </c>
      <c r="C2785" t="str">
        <f t="shared" ref="C2785:C2791" si="526">"41"</f>
        <v>41</v>
      </c>
      <c r="D2785" t="s">
        <v>120</v>
      </c>
      <c r="E2785" t="s">
        <v>116</v>
      </c>
      <c r="F2785" t="s">
        <v>117</v>
      </c>
      <c r="H2785" t="s">
        <v>730</v>
      </c>
      <c r="I2785" t="str">
        <f>"101050002023500"</f>
        <v>101050002023500</v>
      </c>
      <c r="J2785" t="str">
        <f t="shared" ref="J2785:J2791" si="527">"126481"</f>
        <v>126481</v>
      </c>
      <c r="K2785" t="s">
        <v>47</v>
      </c>
      <c r="L2785">
        <v>49</v>
      </c>
      <c r="M2785">
        <v>49</v>
      </c>
      <c r="N2785">
        <v>0</v>
      </c>
      <c r="O2785" s="1">
        <v>45582.346168981479</v>
      </c>
      <c r="P2785" t="s">
        <v>125</v>
      </c>
    </row>
    <row r="2786" spans="1:16" x14ac:dyDescent="0.3">
      <c r="A2786" t="s">
        <v>25</v>
      </c>
      <c r="B2786" s="1">
        <v>45582.346168981479</v>
      </c>
      <c r="C2786" t="str">
        <f t="shared" si="526"/>
        <v>41</v>
      </c>
      <c r="D2786" t="s">
        <v>120</v>
      </c>
      <c r="E2786" t="s">
        <v>116</v>
      </c>
      <c r="F2786" t="s">
        <v>117</v>
      </c>
      <c r="H2786" t="s">
        <v>730</v>
      </c>
      <c r="I2786" t="str">
        <f>"101050002023501"</f>
        <v>101050002023501</v>
      </c>
      <c r="J2786" t="str">
        <f t="shared" si="527"/>
        <v>126481</v>
      </c>
      <c r="K2786" t="s">
        <v>47</v>
      </c>
      <c r="L2786">
        <v>49</v>
      </c>
      <c r="M2786">
        <v>49</v>
      </c>
      <c r="N2786">
        <v>0</v>
      </c>
      <c r="O2786" s="1">
        <v>45582.346168981479</v>
      </c>
      <c r="P2786" t="s">
        <v>125</v>
      </c>
    </row>
    <row r="2787" spans="1:16" x14ac:dyDescent="0.3">
      <c r="A2787" t="s">
        <v>25</v>
      </c>
      <c r="B2787" s="1">
        <v>45582.346168981479</v>
      </c>
      <c r="C2787" t="str">
        <f t="shared" si="526"/>
        <v>41</v>
      </c>
      <c r="D2787" t="s">
        <v>120</v>
      </c>
      <c r="E2787" t="s">
        <v>116</v>
      </c>
      <c r="F2787" t="s">
        <v>117</v>
      </c>
      <c r="H2787" t="s">
        <v>730</v>
      </c>
      <c r="I2787" t="str">
        <f>"101050002023587"</f>
        <v>101050002023587</v>
      </c>
      <c r="J2787" t="str">
        <f t="shared" si="527"/>
        <v>126481</v>
      </c>
      <c r="K2787" t="s">
        <v>47</v>
      </c>
      <c r="L2787">
        <v>49</v>
      </c>
      <c r="M2787">
        <v>49</v>
      </c>
      <c r="N2787">
        <v>0</v>
      </c>
      <c r="O2787" s="1">
        <v>45582.346168981479</v>
      </c>
      <c r="P2787" t="s">
        <v>125</v>
      </c>
    </row>
    <row r="2788" spans="1:16" x14ac:dyDescent="0.3">
      <c r="A2788" t="s">
        <v>25</v>
      </c>
      <c r="B2788" s="1">
        <v>45582.346168981479</v>
      </c>
      <c r="C2788" t="str">
        <f t="shared" si="526"/>
        <v>41</v>
      </c>
      <c r="D2788" t="s">
        <v>120</v>
      </c>
      <c r="E2788" t="s">
        <v>116</v>
      </c>
      <c r="F2788" t="s">
        <v>117</v>
      </c>
      <c r="H2788" t="s">
        <v>730</v>
      </c>
      <c r="I2788" t="str">
        <f>"101050002023353"</f>
        <v>101050002023353</v>
      </c>
      <c r="J2788" t="str">
        <f t="shared" si="527"/>
        <v>126481</v>
      </c>
      <c r="K2788" t="s">
        <v>47</v>
      </c>
      <c r="L2788">
        <v>49</v>
      </c>
      <c r="M2788">
        <v>49</v>
      </c>
      <c r="N2788">
        <v>0</v>
      </c>
      <c r="O2788" s="1">
        <v>45582.346168981479</v>
      </c>
      <c r="P2788" t="s">
        <v>125</v>
      </c>
    </row>
    <row r="2789" spans="1:16" x14ac:dyDescent="0.3">
      <c r="A2789" t="s">
        <v>25</v>
      </c>
      <c r="B2789" s="1">
        <v>45582.346168981479</v>
      </c>
      <c r="C2789" t="str">
        <f t="shared" si="526"/>
        <v>41</v>
      </c>
      <c r="D2789" t="s">
        <v>120</v>
      </c>
      <c r="E2789" t="s">
        <v>116</v>
      </c>
      <c r="F2789" t="s">
        <v>117</v>
      </c>
      <c r="H2789" t="s">
        <v>730</v>
      </c>
      <c r="I2789" t="str">
        <f>"101050002010978"</f>
        <v>101050002010978</v>
      </c>
      <c r="J2789" t="str">
        <f t="shared" si="527"/>
        <v>126481</v>
      </c>
      <c r="K2789" t="s">
        <v>47</v>
      </c>
      <c r="L2789">
        <v>49</v>
      </c>
      <c r="M2789">
        <v>49</v>
      </c>
      <c r="N2789">
        <v>0</v>
      </c>
      <c r="O2789" s="1">
        <v>45582.346168981479</v>
      </c>
      <c r="P2789" t="s">
        <v>125</v>
      </c>
    </row>
    <row r="2790" spans="1:16" x14ac:dyDescent="0.3">
      <c r="A2790" t="s">
        <v>25</v>
      </c>
      <c r="B2790" s="1">
        <v>45582.346168981479</v>
      </c>
      <c r="C2790" t="str">
        <f t="shared" si="526"/>
        <v>41</v>
      </c>
      <c r="D2790" t="s">
        <v>120</v>
      </c>
      <c r="E2790" t="s">
        <v>116</v>
      </c>
      <c r="F2790" t="s">
        <v>117</v>
      </c>
      <c r="H2790" t="s">
        <v>730</v>
      </c>
      <c r="I2790" t="str">
        <f>"101050002010976"</f>
        <v>101050002010976</v>
      </c>
      <c r="J2790" t="str">
        <f t="shared" si="527"/>
        <v>126481</v>
      </c>
      <c r="K2790" t="s">
        <v>47</v>
      </c>
      <c r="L2790">
        <v>49</v>
      </c>
      <c r="M2790">
        <v>49</v>
      </c>
      <c r="N2790">
        <v>0</v>
      </c>
      <c r="O2790" s="1">
        <v>45582.346168981479</v>
      </c>
      <c r="P2790" t="s">
        <v>125</v>
      </c>
    </row>
    <row r="2791" spans="1:16" x14ac:dyDescent="0.3">
      <c r="A2791" t="s">
        <v>25</v>
      </c>
      <c r="B2791" s="1">
        <v>45582.34615740741</v>
      </c>
      <c r="C2791" t="str">
        <f t="shared" si="526"/>
        <v>41</v>
      </c>
      <c r="D2791" t="s">
        <v>120</v>
      </c>
      <c r="E2791" t="s">
        <v>116</v>
      </c>
      <c r="F2791" t="s">
        <v>117</v>
      </c>
      <c r="H2791" t="s">
        <v>730</v>
      </c>
      <c r="I2791" t="str">
        <f>"101050002010974"</f>
        <v>101050002010974</v>
      </c>
      <c r="J2791" t="str">
        <f t="shared" si="527"/>
        <v>126481</v>
      </c>
      <c r="K2791" t="s">
        <v>47</v>
      </c>
      <c r="L2791">
        <v>49</v>
      </c>
      <c r="M2791">
        <v>49</v>
      </c>
      <c r="N2791">
        <v>0</v>
      </c>
      <c r="O2791" s="1">
        <v>45582.34615740741</v>
      </c>
      <c r="P2791" t="s">
        <v>125</v>
      </c>
    </row>
    <row r="2792" spans="1:16" x14ac:dyDescent="0.3">
      <c r="A2792" t="s">
        <v>25</v>
      </c>
      <c r="B2792" s="1">
        <v>45582.346180555556</v>
      </c>
      <c r="C2792" t="str">
        <f>"38"</f>
        <v>38</v>
      </c>
      <c r="D2792" t="s">
        <v>115</v>
      </c>
      <c r="E2792" t="s">
        <v>116</v>
      </c>
      <c r="F2792" t="s">
        <v>117</v>
      </c>
      <c r="H2792" t="s">
        <v>731</v>
      </c>
      <c r="L2792">
        <v>0</v>
      </c>
      <c r="M2792">
        <v>0</v>
      </c>
      <c r="N2792">
        <v>0</v>
      </c>
      <c r="O2792" s="1">
        <v>45582.346180555556</v>
      </c>
      <c r="P2792" t="s">
        <v>119</v>
      </c>
    </row>
    <row r="2793" spans="1:16" x14ac:dyDescent="0.3">
      <c r="A2793" t="s">
        <v>25</v>
      </c>
      <c r="B2793" s="1">
        <v>45582.346180555556</v>
      </c>
      <c r="C2793" t="str">
        <f t="shared" ref="C2793:C2799" si="528">"41"</f>
        <v>41</v>
      </c>
      <c r="D2793" t="s">
        <v>120</v>
      </c>
      <c r="E2793" t="s">
        <v>116</v>
      </c>
      <c r="F2793" t="s">
        <v>117</v>
      </c>
      <c r="H2793" t="s">
        <v>731</v>
      </c>
      <c r="I2793" t="str">
        <f>"101050002022387"</f>
        <v>101050002022387</v>
      </c>
      <c r="J2793" t="str">
        <f t="shared" ref="J2793:J2799" si="529">"125056"</f>
        <v>125056</v>
      </c>
      <c r="K2793" t="s">
        <v>40</v>
      </c>
      <c r="L2793">
        <v>49</v>
      </c>
      <c r="M2793">
        <v>49</v>
      </c>
      <c r="N2793">
        <v>0</v>
      </c>
      <c r="O2793" s="1">
        <v>45582.346180555556</v>
      </c>
      <c r="P2793" t="s">
        <v>119</v>
      </c>
    </row>
    <row r="2794" spans="1:16" x14ac:dyDescent="0.3">
      <c r="A2794" t="s">
        <v>25</v>
      </c>
      <c r="B2794" s="1">
        <v>45582.346180555556</v>
      </c>
      <c r="C2794" t="str">
        <f t="shared" si="528"/>
        <v>41</v>
      </c>
      <c r="D2794" t="s">
        <v>120</v>
      </c>
      <c r="E2794" t="s">
        <v>116</v>
      </c>
      <c r="F2794" t="s">
        <v>117</v>
      </c>
      <c r="H2794" t="s">
        <v>731</v>
      </c>
      <c r="I2794" t="str">
        <f>"101050002022448"</f>
        <v>101050002022448</v>
      </c>
      <c r="J2794" t="str">
        <f t="shared" si="529"/>
        <v>125056</v>
      </c>
      <c r="K2794" t="s">
        <v>40</v>
      </c>
      <c r="L2794">
        <v>49</v>
      </c>
      <c r="M2794">
        <v>49</v>
      </c>
      <c r="N2794">
        <v>0</v>
      </c>
      <c r="O2794" s="1">
        <v>45582.346180555556</v>
      </c>
      <c r="P2794" t="s">
        <v>119</v>
      </c>
    </row>
    <row r="2795" spans="1:16" x14ac:dyDescent="0.3">
      <c r="A2795" t="s">
        <v>25</v>
      </c>
      <c r="B2795" s="1">
        <v>45582.346180555556</v>
      </c>
      <c r="C2795" t="str">
        <f t="shared" si="528"/>
        <v>41</v>
      </c>
      <c r="D2795" t="s">
        <v>120</v>
      </c>
      <c r="E2795" t="s">
        <v>116</v>
      </c>
      <c r="F2795" t="s">
        <v>117</v>
      </c>
      <c r="H2795" t="s">
        <v>731</v>
      </c>
      <c r="I2795" t="str">
        <f>"101050002022332"</f>
        <v>101050002022332</v>
      </c>
      <c r="J2795" t="str">
        <f t="shared" si="529"/>
        <v>125056</v>
      </c>
      <c r="K2795" t="s">
        <v>40</v>
      </c>
      <c r="L2795">
        <v>49</v>
      </c>
      <c r="M2795">
        <v>49</v>
      </c>
      <c r="N2795">
        <v>0</v>
      </c>
      <c r="O2795" s="1">
        <v>45582.346180555556</v>
      </c>
      <c r="P2795" t="s">
        <v>119</v>
      </c>
    </row>
    <row r="2796" spans="1:16" x14ac:dyDescent="0.3">
      <c r="A2796" t="s">
        <v>25</v>
      </c>
      <c r="B2796" s="1">
        <v>45582.346180555556</v>
      </c>
      <c r="C2796" t="str">
        <f t="shared" si="528"/>
        <v>41</v>
      </c>
      <c r="D2796" t="s">
        <v>120</v>
      </c>
      <c r="E2796" t="s">
        <v>116</v>
      </c>
      <c r="F2796" t="s">
        <v>117</v>
      </c>
      <c r="H2796" t="s">
        <v>731</v>
      </c>
      <c r="I2796" t="str">
        <f>"101050002022386"</f>
        <v>101050002022386</v>
      </c>
      <c r="J2796" t="str">
        <f t="shared" si="529"/>
        <v>125056</v>
      </c>
      <c r="K2796" t="s">
        <v>40</v>
      </c>
      <c r="L2796">
        <v>49</v>
      </c>
      <c r="M2796">
        <v>49</v>
      </c>
      <c r="N2796">
        <v>0</v>
      </c>
      <c r="O2796" s="1">
        <v>45582.346180555556</v>
      </c>
      <c r="P2796" t="s">
        <v>119</v>
      </c>
    </row>
    <row r="2797" spans="1:16" x14ac:dyDescent="0.3">
      <c r="A2797" t="s">
        <v>25</v>
      </c>
      <c r="B2797" s="1">
        <v>45582.346180555556</v>
      </c>
      <c r="C2797" t="str">
        <f t="shared" si="528"/>
        <v>41</v>
      </c>
      <c r="D2797" t="s">
        <v>120</v>
      </c>
      <c r="E2797" t="s">
        <v>116</v>
      </c>
      <c r="F2797" t="s">
        <v>117</v>
      </c>
      <c r="H2797" t="s">
        <v>731</v>
      </c>
      <c r="I2797" t="str">
        <f>"101050002022018"</f>
        <v>101050002022018</v>
      </c>
      <c r="J2797" t="str">
        <f t="shared" si="529"/>
        <v>125056</v>
      </c>
      <c r="K2797" t="s">
        <v>40</v>
      </c>
      <c r="L2797">
        <v>49</v>
      </c>
      <c r="M2797">
        <v>49</v>
      </c>
      <c r="N2797">
        <v>0</v>
      </c>
      <c r="O2797" s="1">
        <v>45582.346180555556</v>
      </c>
      <c r="P2797" t="s">
        <v>119</v>
      </c>
    </row>
    <row r="2798" spans="1:16" x14ac:dyDescent="0.3">
      <c r="A2798" t="s">
        <v>25</v>
      </c>
      <c r="B2798" s="1">
        <v>45582.346168981479</v>
      </c>
      <c r="C2798" t="str">
        <f t="shared" si="528"/>
        <v>41</v>
      </c>
      <c r="D2798" t="s">
        <v>120</v>
      </c>
      <c r="E2798" t="s">
        <v>116</v>
      </c>
      <c r="F2798" t="s">
        <v>117</v>
      </c>
      <c r="H2798" t="s">
        <v>731</v>
      </c>
      <c r="I2798" t="str">
        <f>"101050002022089"</f>
        <v>101050002022089</v>
      </c>
      <c r="J2798" t="str">
        <f t="shared" si="529"/>
        <v>125056</v>
      </c>
      <c r="K2798" t="s">
        <v>40</v>
      </c>
      <c r="L2798">
        <v>49</v>
      </c>
      <c r="M2798">
        <v>49</v>
      </c>
      <c r="N2798">
        <v>0</v>
      </c>
      <c r="O2798" s="1">
        <v>45582.346168981479</v>
      </c>
      <c r="P2798" t="s">
        <v>119</v>
      </c>
    </row>
    <row r="2799" spans="1:16" x14ac:dyDescent="0.3">
      <c r="A2799" t="s">
        <v>25</v>
      </c>
      <c r="B2799" s="1">
        <v>45582.346168981479</v>
      </c>
      <c r="C2799" t="str">
        <f t="shared" si="528"/>
        <v>41</v>
      </c>
      <c r="D2799" t="s">
        <v>120</v>
      </c>
      <c r="E2799" t="s">
        <v>116</v>
      </c>
      <c r="F2799" t="s">
        <v>117</v>
      </c>
      <c r="H2799" t="s">
        <v>731</v>
      </c>
      <c r="I2799" t="str">
        <f>"101050002021625"</f>
        <v>101050002021625</v>
      </c>
      <c r="J2799" t="str">
        <f t="shared" si="529"/>
        <v>125056</v>
      </c>
      <c r="K2799" t="s">
        <v>40</v>
      </c>
      <c r="L2799">
        <v>49</v>
      </c>
      <c r="M2799">
        <v>49</v>
      </c>
      <c r="N2799">
        <v>0</v>
      </c>
      <c r="O2799" s="1">
        <v>45582.346168981479</v>
      </c>
      <c r="P2799" t="s">
        <v>119</v>
      </c>
    </row>
    <row r="2800" spans="1:16" x14ac:dyDescent="0.3">
      <c r="A2800" t="s">
        <v>25</v>
      </c>
      <c r="B2800" s="1">
        <v>45582.345555555556</v>
      </c>
      <c r="C2800" t="str">
        <f>"38"</f>
        <v>38</v>
      </c>
      <c r="D2800" t="s">
        <v>115</v>
      </c>
      <c r="E2800" t="s">
        <v>116</v>
      </c>
      <c r="F2800" t="s">
        <v>117</v>
      </c>
      <c r="H2800" t="s">
        <v>732</v>
      </c>
      <c r="L2800">
        <v>0</v>
      </c>
      <c r="M2800">
        <v>0</v>
      </c>
      <c r="N2800">
        <v>0</v>
      </c>
      <c r="O2800" s="1">
        <v>45582.345555555556</v>
      </c>
      <c r="P2800" t="s">
        <v>138</v>
      </c>
    </row>
    <row r="2801" spans="1:16" x14ac:dyDescent="0.3">
      <c r="A2801" t="s">
        <v>25</v>
      </c>
      <c r="B2801" s="1">
        <v>45582.345555555556</v>
      </c>
      <c r="C2801" t="str">
        <f>"41"</f>
        <v>41</v>
      </c>
      <c r="D2801" t="s">
        <v>120</v>
      </c>
      <c r="E2801" t="s">
        <v>116</v>
      </c>
      <c r="F2801" t="s">
        <v>117</v>
      </c>
      <c r="H2801" t="s">
        <v>732</v>
      </c>
      <c r="I2801" t="str">
        <f>"101050002021583"</f>
        <v>101050002021583</v>
      </c>
      <c r="J2801" t="str">
        <f>"127548"</f>
        <v>127548</v>
      </c>
      <c r="K2801" t="s">
        <v>60</v>
      </c>
      <c r="L2801">
        <v>49</v>
      </c>
      <c r="M2801">
        <v>49</v>
      </c>
      <c r="N2801">
        <v>0</v>
      </c>
      <c r="O2801" s="1">
        <v>45582.345555555556</v>
      </c>
      <c r="P2801" t="s">
        <v>138</v>
      </c>
    </row>
    <row r="2802" spans="1:16" x14ac:dyDescent="0.3">
      <c r="A2802" t="s">
        <v>25</v>
      </c>
      <c r="B2802" s="1">
        <v>45582.345555555556</v>
      </c>
      <c r="C2802" t="str">
        <f>"41"</f>
        <v>41</v>
      </c>
      <c r="D2802" t="s">
        <v>120</v>
      </c>
      <c r="E2802" t="s">
        <v>116</v>
      </c>
      <c r="F2802" t="s">
        <v>117</v>
      </c>
      <c r="H2802" t="s">
        <v>732</v>
      </c>
      <c r="I2802" t="str">
        <f>"101050002021585"</f>
        <v>101050002021585</v>
      </c>
      <c r="J2802" t="str">
        <f>"127548"</f>
        <v>127548</v>
      </c>
      <c r="K2802" t="s">
        <v>60</v>
      </c>
      <c r="L2802">
        <v>49</v>
      </c>
      <c r="M2802">
        <v>49</v>
      </c>
      <c r="N2802">
        <v>0</v>
      </c>
      <c r="O2802" s="1">
        <v>45582.345555555556</v>
      </c>
      <c r="P2802" t="s">
        <v>138</v>
      </c>
    </row>
    <row r="2803" spans="1:16" x14ac:dyDescent="0.3">
      <c r="A2803" t="s">
        <v>25</v>
      </c>
      <c r="B2803" s="1">
        <v>45582.345555555556</v>
      </c>
      <c r="C2803" t="str">
        <f>"41"</f>
        <v>41</v>
      </c>
      <c r="D2803" t="s">
        <v>120</v>
      </c>
      <c r="E2803" t="s">
        <v>116</v>
      </c>
      <c r="F2803" t="s">
        <v>117</v>
      </c>
      <c r="H2803" t="s">
        <v>732</v>
      </c>
      <c r="I2803" t="str">
        <f>"101050002021584"</f>
        <v>101050002021584</v>
      </c>
      <c r="J2803" t="str">
        <f>"127548"</f>
        <v>127548</v>
      </c>
      <c r="K2803" t="s">
        <v>60</v>
      </c>
      <c r="L2803">
        <v>49</v>
      </c>
      <c r="M2803">
        <v>49</v>
      </c>
      <c r="N2803">
        <v>0</v>
      </c>
      <c r="O2803" s="1">
        <v>45582.345555555556</v>
      </c>
      <c r="P2803" t="s">
        <v>138</v>
      </c>
    </row>
    <row r="2804" spans="1:16" x14ac:dyDescent="0.3">
      <c r="A2804" t="s">
        <v>25</v>
      </c>
      <c r="B2804" s="1">
        <v>45582.345555555556</v>
      </c>
      <c r="C2804" t="str">
        <f>"41"</f>
        <v>41</v>
      </c>
      <c r="D2804" t="s">
        <v>120</v>
      </c>
      <c r="E2804" t="s">
        <v>116</v>
      </c>
      <c r="F2804" t="s">
        <v>117</v>
      </c>
      <c r="H2804" t="s">
        <v>732</v>
      </c>
      <c r="I2804" t="str">
        <f>"101050002021582"</f>
        <v>101050002021582</v>
      </c>
      <c r="J2804" t="str">
        <f>"127548"</f>
        <v>127548</v>
      </c>
      <c r="K2804" t="s">
        <v>60</v>
      </c>
      <c r="L2804">
        <v>49</v>
      </c>
      <c r="M2804">
        <v>49</v>
      </c>
      <c r="N2804">
        <v>0</v>
      </c>
      <c r="O2804" s="1">
        <v>45582.345555555556</v>
      </c>
      <c r="P2804" t="s">
        <v>138</v>
      </c>
    </row>
    <row r="2805" spans="1:16" x14ac:dyDescent="0.3">
      <c r="A2805" t="s">
        <v>25</v>
      </c>
      <c r="B2805" s="1">
        <v>45582.345543981479</v>
      </c>
      <c r="C2805" t="str">
        <f>"41"</f>
        <v>41</v>
      </c>
      <c r="D2805" t="s">
        <v>120</v>
      </c>
      <c r="E2805" t="s">
        <v>116</v>
      </c>
      <c r="F2805" t="s">
        <v>117</v>
      </c>
      <c r="H2805" t="s">
        <v>732</v>
      </c>
      <c r="I2805" t="str">
        <f>"101050001963910"</f>
        <v>101050001963910</v>
      </c>
      <c r="J2805" t="str">
        <f>"127548"</f>
        <v>127548</v>
      </c>
      <c r="K2805" t="s">
        <v>60</v>
      </c>
      <c r="L2805">
        <v>49</v>
      </c>
      <c r="M2805">
        <v>49</v>
      </c>
      <c r="N2805">
        <v>0</v>
      </c>
      <c r="O2805" s="1">
        <v>45582.345543981479</v>
      </c>
      <c r="P2805" t="s">
        <v>138</v>
      </c>
    </row>
    <row r="2806" spans="1:16" x14ac:dyDescent="0.3">
      <c r="A2806" t="s">
        <v>25</v>
      </c>
      <c r="B2806" s="1">
        <v>45582.345312500001</v>
      </c>
      <c r="C2806" t="str">
        <f>"38"</f>
        <v>38</v>
      </c>
      <c r="D2806" t="s">
        <v>115</v>
      </c>
      <c r="E2806" t="s">
        <v>116</v>
      </c>
      <c r="F2806" t="s">
        <v>117</v>
      </c>
      <c r="H2806" t="s">
        <v>733</v>
      </c>
      <c r="L2806">
        <v>0</v>
      </c>
      <c r="M2806">
        <v>0</v>
      </c>
      <c r="N2806">
        <v>0</v>
      </c>
      <c r="O2806" s="1">
        <v>45582.345312500001</v>
      </c>
      <c r="P2806" t="s">
        <v>392</v>
      </c>
    </row>
    <row r="2807" spans="1:16" x14ac:dyDescent="0.3">
      <c r="A2807" t="s">
        <v>25</v>
      </c>
      <c r="B2807" s="1">
        <v>45582.345312500001</v>
      </c>
      <c r="C2807" t="str">
        <f t="shared" ref="C2807:C2813" si="530">"41"</f>
        <v>41</v>
      </c>
      <c r="D2807" t="s">
        <v>120</v>
      </c>
      <c r="E2807" t="s">
        <v>116</v>
      </c>
      <c r="F2807" t="s">
        <v>117</v>
      </c>
      <c r="H2807" t="s">
        <v>733</v>
      </c>
      <c r="I2807" t="str">
        <f>"101050002000445"</f>
        <v>101050002000445</v>
      </c>
      <c r="J2807" t="str">
        <f t="shared" ref="J2807:J2813" si="531">"514846"</f>
        <v>514846</v>
      </c>
      <c r="K2807" t="s">
        <v>18</v>
      </c>
      <c r="L2807">
        <v>49</v>
      </c>
      <c r="M2807">
        <v>49</v>
      </c>
      <c r="N2807">
        <v>0</v>
      </c>
      <c r="O2807" s="1">
        <v>45582.345312500001</v>
      </c>
      <c r="P2807" t="s">
        <v>392</v>
      </c>
    </row>
    <row r="2808" spans="1:16" x14ac:dyDescent="0.3">
      <c r="A2808" t="s">
        <v>25</v>
      </c>
      <c r="B2808" s="1">
        <v>45582.345312500001</v>
      </c>
      <c r="C2808" t="str">
        <f t="shared" si="530"/>
        <v>41</v>
      </c>
      <c r="D2808" t="s">
        <v>120</v>
      </c>
      <c r="E2808" t="s">
        <v>116</v>
      </c>
      <c r="F2808" t="s">
        <v>117</v>
      </c>
      <c r="H2808" t="s">
        <v>733</v>
      </c>
      <c r="I2808" t="str">
        <f>"101050002001134"</f>
        <v>101050002001134</v>
      </c>
      <c r="J2808" t="str">
        <f t="shared" si="531"/>
        <v>514846</v>
      </c>
      <c r="K2808" t="s">
        <v>18</v>
      </c>
      <c r="L2808">
        <v>49</v>
      </c>
      <c r="M2808">
        <v>49</v>
      </c>
      <c r="N2808">
        <v>0</v>
      </c>
      <c r="O2808" s="1">
        <v>45582.345312500001</v>
      </c>
      <c r="P2808" t="s">
        <v>392</v>
      </c>
    </row>
    <row r="2809" spans="1:16" x14ac:dyDescent="0.3">
      <c r="A2809" t="s">
        <v>25</v>
      </c>
      <c r="B2809" s="1">
        <v>45582.345312500001</v>
      </c>
      <c r="C2809" t="str">
        <f t="shared" si="530"/>
        <v>41</v>
      </c>
      <c r="D2809" t="s">
        <v>120</v>
      </c>
      <c r="E2809" t="s">
        <v>116</v>
      </c>
      <c r="F2809" t="s">
        <v>117</v>
      </c>
      <c r="H2809" t="s">
        <v>733</v>
      </c>
      <c r="I2809" t="str">
        <f>"101050002001133"</f>
        <v>101050002001133</v>
      </c>
      <c r="J2809" t="str">
        <f t="shared" si="531"/>
        <v>514846</v>
      </c>
      <c r="K2809" t="s">
        <v>18</v>
      </c>
      <c r="L2809">
        <v>49</v>
      </c>
      <c r="M2809">
        <v>49</v>
      </c>
      <c r="N2809">
        <v>0</v>
      </c>
      <c r="O2809" s="1">
        <v>45582.345312500001</v>
      </c>
      <c r="P2809" t="s">
        <v>392</v>
      </c>
    </row>
    <row r="2810" spans="1:16" x14ac:dyDescent="0.3">
      <c r="A2810" t="s">
        <v>25</v>
      </c>
      <c r="B2810" s="1">
        <v>45582.345312500001</v>
      </c>
      <c r="C2810" t="str">
        <f t="shared" si="530"/>
        <v>41</v>
      </c>
      <c r="D2810" t="s">
        <v>120</v>
      </c>
      <c r="E2810" t="s">
        <v>116</v>
      </c>
      <c r="F2810" t="s">
        <v>117</v>
      </c>
      <c r="H2810" t="s">
        <v>733</v>
      </c>
      <c r="I2810" t="str">
        <f>"101050002000795"</f>
        <v>101050002000795</v>
      </c>
      <c r="J2810" t="str">
        <f t="shared" si="531"/>
        <v>514846</v>
      </c>
      <c r="K2810" t="s">
        <v>18</v>
      </c>
      <c r="L2810">
        <v>49</v>
      </c>
      <c r="M2810">
        <v>49</v>
      </c>
      <c r="N2810">
        <v>0</v>
      </c>
      <c r="O2810" s="1">
        <v>45582.345312500001</v>
      </c>
      <c r="P2810" t="s">
        <v>392</v>
      </c>
    </row>
    <row r="2811" spans="1:16" x14ac:dyDescent="0.3">
      <c r="A2811" t="s">
        <v>25</v>
      </c>
      <c r="B2811" s="1">
        <v>45582.345312500001</v>
      </c>
      <c r="C2811" t="str">
        <f t="shared" si="530"/>
        <v>41</v>
      </c>
      <c r="D2811" t="s">
        <v>120</v>
      </c>
      <c r="E2811" t="s">
        <v>116</v>
      </c>
      <c r="F2811" t="s">
        <v>117</v>
      </c>
      <c r="H2811" t="s">
        <v>733</v>
      </c>
      <c r="I2811" t="str">
        <f>"101050002000442"</f>
        <v>101050002000442</v>
      </c>
      <c r="J2811" t="str">
        <f t="shared" si="531"/>
        <v>514846</v>
      </c>
      <c r="K2811" t="s">
        <v>18</v>
      </c>
      <c r="L2811">
        <v>49</v>
      </c>
      <c r="M2811">
        <v>49</v>
      </c>
      <c r="N2811">
        <v>0</v>
      </c>
      <c r="O2811" s="1">
        <v>45582.345312500001</v>
      </c>
      <c r="P2811" t="s">
        <v>392</v>
      </c>
    </row>
    <row r="2812" spans="1:16" x14ac:dyDescent="0.3">
      <c r="A2812" t="s">
        <v>25</v>
      </c>
      <c r="B2812" s="1">
        <v>45582.345312500001</v>
      </c>
      <c r="C2812" t="str">
        <f t="shared" si="530"/>
        <v>41</v>
      </c>
      <c r="D2812" t="s">
        <v>120</v>
      </c>
      <c r="E2812" t="s">
        <v>116</v>
      </c>
      <c r="F2812" t="s">
        <v>117</v>
      </c>
      <c r="H2812" t="s">
        <v>733</v>
      </c>
      <c r="I2812" t="str">
        <f>"101050002000441"</f>
        <v>101050002000441</v>
      </c>
      <c r="J2812" t="str">
        <f t="shared" si="531"/>
        <v>514846</v>
      </c>
      <c r="K2812" t="s">
        <v>18</v>
      </c>
      <c r="L2812">
        <v>49</v>
      </c>
      <c r="M2812">
        <v>49</v>
      </c>
      <c r="N2812">
        <v>0</v>
      </c>
      <c r="O2812" s="1">
        <v>45582.345312500001</v>
      </c>
      <c r="P2812" t="s">
        <v>392</v>
      </c>
    </row>
    <row r="2813" spans="1:16" x14ac:dyDescent="0.3">
      <c r="A2813" t="s">
        <v>25</v>
      </c>
      <c r="B2813" s="1">
        <v>45582.345312500001</v>
      </c>
      <c r="C2813" t="str">
        <f t="shared" si="530"/>
        <v>41</v>
      </c>
      <c r="D2813" t="s">
        <v>120</v>
      </c>
      <c r="E2813" t="s">
        <v>116</v>
      </c>
      <c r="F2813" t="s">
        <v>117</v>
      </c>
      <c r="H2813" t="s">
        <v>733</v>
      </c>
      <c r="I2813" t="str">
        <f>"101050002001493"</f>
        <v>101050002001493</v>
      </c>
      <c r="J2813" t="str">
        <f t="shared" si="531"/>
        <v>514846</v>
      </c>
      <c r="K2813" t="s">
        <v>18</v>
      </c>
      <c r="L2813">
        <v>49</v>
      </c>
      <c r="M2813">
        <v>49</v>
      </c>
      <c r="N2813">
        <v>0</v>
      </c>
      <c r="O2813" s="1">
        <v>45582.345312500001</v>
      </c>
      <c r="P2813" t="s">
        <v>392</v>
      </c>
    </row>
    <row r="2814" spans="1:16" x14ac:dyDescent="0.3">
      <c r="A2814" t="s">
        <v>25</v>
      </c>
      <c r="B2814" s="1">
        <v>45582.34443287037</v>
      </c>
      <c r="C2814" t="str">
        <f>"38"</f>
        <v>38</v>
      </c>
      <c r="D2814" t="s">
        <v>115</v>
      </c>
      <c r="E2814" t="s">
        <v>116</v>
      </c>
      <c r="F2814" t="s">
        <v>117</v>
      </c>
      <c r="H2814" t="s">
        <v>734</v>
      </c>
      <c r="L2814">
        <v>0</v>
      </c>
      <c r="M2814">
        <v>0</v>
      </c>
      <c r="N2814">
        <v>0</v>
      </c>
      <c r="O2814" s="1">
        <v>45582.34443287037</v>
      </c>
      <c r="P2814" t="s">
        <v>392</v>
      </c>
    </row>
    <row r="2815" spans="1:16" x14ac:dyDescent="0.3">
      <c r="A2815" t="s">
        <v>25</v>
      </c>
      <c r="B2815" s="1">
        <v>45582.34443287037</v>
      </c>
      <c r="C2815" t="str">
        <f t="shared" ref="C2815:C2821" si="532">"41"</f>
        <v>41</v>
      </c>
      <c r="D2815" t="s">
        <v>120</v>
      </c>
      <c r="E2815" t="s">
        <v>116</v>
      </c>
      <c r="F2815" t="s">
        <v>117</v>
      </c>
      <c r="H2815" t="s">
        <v>734</v>
      </c>
      <c r="I2815" t="str">
        <f>"101050002023748"</f>
        <v>101050002023748</v>
      </c>
      <c r="J2815" t="str">
        <f t="shared" ref="J2815:J2821" si="533">"128504"</f>
        <v>128504</v>
      </c>
      <c r="K2815" t="s">
        <v>71</v>
      </c>
      <c r="L2815">
        <v>49</v>
      </c>
      <c r="M2815">
        <v>49</v>
      </c>
      <c r="N2815">
        <v>0</v>
      </c>
      <c r="O2815" s="1">
        <v>45582.34443287037</v>
      </c>
      <c r="P2815" t="s">
        <v>392</v>
      </c>
    </row>
    <row r="2816" spans="1:16" x14ac:dyDescent="0.3">
      <c r="A2816" t="s">
        <v>25</v>
      </c>
      <c r="B2816" s="1">
        <v>45582.34443287037</v>
      </c>
      <c r="C2816" t="str">
        <f t="shared" si="532"/>
        <v>41</v>
      </c>
      <c r="D2816" t="s">
        <v>120</v>
      </c>
      <c r="E2816" t="s">
        <v>116</v>
      </c>
      <c r="F2816" t="s">
        <v>117</v>
      </c>
      <c r="H2816" t="s">
        <v>734</v>
      </c>
      <c r="I2816" t="str">
        <f>"101050002023745"</f>
        <v>101050002023745</v>
      </c>
      <c r="J2816" t="str">
        <f t="shared" si="533"/>
        <v>128504</v>
      </c>
      <c r="K2816" t="s">
        <v>71</v>
      </c>
      <c r="L2816">
        <v>49</v>
      </c>
      <c r="M2816">
        <v>49</v>
      </c>
      <c r="N2816">
        <v>0</v>
      </c>
      <c r="O2816" s="1">
        <v>45582.34443287037</v>
      </c>
      <c r="P2816" t="s">
        <v>392</v>
      </c>
    </row>
    <row r="2817" spans="1:16" x14ac:dyDescent="0.3">
      <c r="A2817" t="s">
        <v>25</v>
      </c>
      <c r="B2817" s="1">
        <v>45582.34443287037</v>
      </c>
      <c r="C2817" t="str">
        <f t="shared" si="532"/>
        <v>41</v>
      </c>
      <c r="D2817" t="s">
        <v>120</v>
      </c>
      <c r="E2817" t="s">
        <v>116</v>
      </c>
      <c r="F2817" t="s">
        <v>117</v>
      </c>
      <c r="H2817" t="s">
        <v>734</v>
      </c>
      <c r="I2817" t="str">
        <f>"101050002023746"</f>
        <v>101050002023746</v>
      </c>
      <c r="J2817" t="str">
        <f t="shared" si="533"/>
        <v>128504</v>
      </c>
      <c r="K2817" t="s">
        <v>71</v>
      </c>
      <c r="L2817">
        <v>49</v>
      </c>
      <c r="M2817">
        <v>49</v>
      </c>
      <c r="N2817">
        <v>0</v>
      </c>
      <c r="O2817" s="1">
        <v>45582.34443287037</v>
      </c>
      <c r="P2817" t="s">
        <v>392</v>
      </c>
    </row>
    <row r="2818" spans="1:16" x14ac:dyDescent="0.3">
      <c r="A2818" t="s">
        <v>25</v>
      </c>
      <c r="B2818" s="1">
        <v>45582.344421296293</v>
      </c>
      <c r="C2818" t="str">
        <f t="shared" si="532"/>
        <v>41</v>
      </c>
      <c r="D2818" t="s">
        <v>120</v>
      </c>
      <c r="E2818" t="s">
        <v>116</v>
      </c>
      <c r="F2818" t="s">
        <v>117</v>
      </c>
      <c r="H2818" t="s">
        <v>734</v>
      </c>
      <c r="I2818" t="str">
        <f>"101050002023749"</f>
        <v>101050002023749</v>
      </c>
      <c r="J2818" t="str">
        <f t="shared" si="533"/>
        <v>128504</v>
      </c>
      <c r="K2818" t="s">
        <v>71</v>
      </c>
      <c r="L2818">
        <v>49</v>
      </c>
      <c r="M2818">
        <v>49</v>
      </c>
      <c r="N2818">
        <v>0</v>
      </c>
      <c r="O2818" s="1">
        <v>45582.344421296293</v>
      </c>
      <c r="P2818" t="s">
        <v>392</v>
      </c>
    </row>
    <row r="2819" spans="1:16" x14ac:dyDescent="0.3">
      <c r="A2819" t="s">
        <v>25</v>
      </c>
      <c r="B2819" s="1">
        <v>45582.344421296293</v>
      </c>
      <c r="C2819" t="str">
        <f t="shared" si="532"/>
        <v>41</v>
      </c>
      <c r="D2819" t="s">
        <v>120</v>
      </c>
      <c r="E2819" t="s">
        <v>116</v>
      </c>
      <c r="F2819" t="s">
        <v>117</v>
      </c>
      <c r="H2819" t="s">
        <v>734</v>
      </c>
      <c r="I2819" t="str">
        <f>"101050002023770"</f>
        <v>101050002023770</v>
      </c>
      <c r="J2819" t="str">
        <f t="shared" si="533"/>
        <v>128504</v>
      </c>
      <c r="K2819" t="s">
        <v>71</v>
      </c>
      <c r="L2819">
        <v>49</v>
      </c>
      <c r="M2819">
        <v>49</v>
      </c>
      <c r="N2819">
        <v>0</v>
      </c>
      <c r="O2819" s="1">
        <v>45582.344421296293</v>
      </c>
      <c r="P2819" t="s">
        <v>392</v>
      </c>
    </row>
    <row r="2820" spans="1:16" x14ac:dyDescent="0.3">
      <c r="A2820" t="s">
        <v>25</v>
      </c>
      <c r="B2820" s="1">
        <v>45582.344421296293</v>
      </c>
      <c r="C2820" t="str">
        <f t="shared" si="532"/>
        <v>41</v>
      </c>
      <c r="D2820" t="s">
        <v>120</v>
      </c>
      <c r="E2820" t="s">
        <v>116</v>
      </c>
      <c r="F2820" t="s">
        <v>117</v>
      </c>
      <c r="H2820" t="s">
        <v>734</v>
      </c>
      <c r="I2820" t="str">
        <f>"101050002023852"</f>
        <v>101050002023852</v>
      </c>
      <c r="J2820" t="str">
        <f t="shared" si="533"/>
        <v>128504</v>
      </c>
      <c r="K2820" t="s">
        <v>71</v>
      </c>
      <c r="L2820">
        <v>49</v>
      </c>
      <c r="M2820">
        <v>49</v>
      </c>
      <c r="N2820">
        <v>0</v>
      </c>
      <c r="O2820" s="1">
        <v>45582.344421296293</v>
      </c>
      <c r="P2820" t="s">
        <v>392</v>
      </c>
    </row>
    <row r="2821" spans="1:16" x14ac:dyDescent="0.3">
      <c r="A2821" t="s">
        <v>25</v>
      </c>
      <c r="B2821" s="1">
        <v>45582.344421296293</v>
      </c>
      <c r="C2821" t="str">
        <f t="shared" si="532"/>
        <v>41</v>
      </c>
      <c r="D2821" t="s">
        <v>120</v>
      </c>
      <c r="E2821" t="s">
        <v>116</v>
      </c>
      <c r="F2821" t="s">
        <v>117</v>
      </c>
      <c r="H2821" t="s">
        <v>734</v>
      </c>
      <c r="I2821" t="str">
        <f>"101050002023851"</f>
        <v>101050002023851</v>
      </c>
      <c r="J2821" t="str">
        <f t="shared" si="533"/>
        <v>128504</v>
      </c>
      <c r="K2821" t="s">
        <v>71</v>
      </c>
      <c r="L2821">
        <v>49</v>
      </c>
      <c r="M2821">
        <v>49</v>
      </c>
      <c r="N2821">
        <v>0</v>
      </c>
      <c r="O2821" s="1">
        <v>45582.344421296293</v>
      </c>
      <c r="P2821" t="s">
        <v>392</v>
      </c>
    </row>
    <row r="2822" spans="1:16" x14ac:dyDescent="0.3">
      <c r="A2822" t="s">
        <v>25</v>
      </c>
      <c r="B2822" s="1">
        <v>45582.344155092593</v>
      </c>
      <c r="C2822" t="str">
        <f>"38"</f>
        <v>38</v>
      </c>
      <c r="D2822" t="s">
        <v>115</v>
      </c>
      <c r="E2822" t="s">
        <v>116</v>
      </c>
      <c r="F2822" t="s">
        <v>117</v>
      </c>
      <c r="H2822" t="s">
        <v>735</v>
      </c>
      <c r="L2822">
        <v>0</v>
      </c>
      <c r="M2822">
        <v>0</v>
      </c>
      <c r="N2822">
        <v>0</v>
      </c>
      <c r="O2822" s="1">
        <v>45582.344155092593</v>
      </c>
      <c r="P2822" t="s">
        <v>138</v>
      </c>
    </row>
    <row r="2823" spans="1:16" x14ac:dyDescent="0.3">
      <c r="A2823" t="s">
        <v>25</v>
      </c>
      <c r="B2823" s="1">
        <v>45582.344155092593</v>
      </c>
      <c r="C2823" t="str">
        <f t="shared" ref="C2823:C2829" si="534">"41"</f>
        <v>41</v>
      </c>
      <c r="D2823" t="s">
        <v>120</v>
      </c>
      <c r="E2823" t="s">
        <v>116</v>
      </c>
      <c r="F2823" t="s">
        <v>117</v>
      </c>
      <c r="H2823" t="s">
        <v>735</v>
      </c>
      <c r="I2823" t="str">
        <f>"101570001110084"</f>
        <v>101570001110084</v>
      </c>
      <c r="J2823" t="str">
        <f t="shared" ref="J2823:J2829" si="535">"125031"</f>
        <v>125031</v>
      </c>
      <c r="K2823" t="s">
        <v>38</v>
      </c>
      <c r="L2823">
        <v>49</v>
      </c>
      <c r="M2823">
        <v>49</v>
      </c>
      <c r="N2823">
        <v>0</v>
      </c>
      <c r="O2823" s="1">
        <v>45582.344155092593</v>
      </c>
      <c r="P2823" t="s">
        <v>138</v>
      </c>
    </row>
    <row r="2824" spans="1:16" x14ac:dyDescent="0.3">
      <c r="A2824" t="s">
        <v>25</v>
      </c>
      <c r="B2824" s="1">
        <v>45582.344155092593</v>
      </c>
      <c r="C2824" t="str">
        <f t="shared" si="534"/>
        <v>41</v>
      </c>
      <c r="D2824" t="s">
        <v>120</v>
      </c>
      <c r="E2824" t="s">
        <v>116</v>
      </c>
      <c r="F2824" t="s">
        <v>117</v>
      </c>
      <c r="H2824" t="s">
        <v>735</v>
      </c>
      <c r="I2824" t="str">
        <f>"101570001105875"</f>
        <v>101570001105875</v>
      </c>
      <c r="J2824" t="str">
        <f t="shared" si="535"/>
        <v>125031</v>
      </c>
      <c r="K2824" t="s">
        <v>38</v>
      </c>
      <c r="L2824">
        <v>49</v>
      </c>
      <c r="M2824">
        <v>49</v>
      </c>
      <c r="N2824">
        <v>0</v>
      </c>
      <c r="O2824" s="1">
        <v>45582.344155092593</v>
      </c>
      <c r="P2824" t="s">
        <v>138</v>
      </c>
    </row>
    <row r="2825" spans="1:16" x14ac:dyDescent="0.3">
      <c r="A2825" t="s">
        <v>25</v>
      </c>
      <c r="B2825" s="1">
        <v>45582.344155092593</v>
      </c>
      <c r="C2825" t="str">
        <f t="shared" si="534"/>
        <v>41</v>
      </c>
      <c r="D2825" t="s">
        <v>120</v>
      </c>
      <c r="E2825" t="s">
        <v>116</v>
      </c>
      <c r="F2825" t="s">
        <v>117</v>
      </c>
      <c r="H2825" t="s">
        <v>735</v>
      </c>
      <c r="I2825" t="str">
        <f>"101570001105876"</f>
        <v>101570001105876</v>
      </c>
      <c r="J2825" t="str">
        <f t="shared" si="535"/>
        <v>125031</v>
      </c>
      <c r="K2825" t="s">
        <v>38</v>
      </c>
      <c r="L2825">
        <v>49</v>
      </c>
      <c r="M2825">
        <v>49</v>
      </c>
      <c r="N2825">
        <v>0</v>
      </c>
      <c r="O2825" s="1">
        <v>45582.344155092593</v>
      </c>
      <c r="P2825" t="s">
        <v>138</v>
      </c>
    </row>
    <row r="2826" spans="1:16" x14ac:dyDescent="0.3">
      <c r="A2826" t="s">
        <v>25</v>
      </c>
      <c r="B2826" s="1">
        <v>45582.344155092593</v>
      </c>
      <c r="C2826" t="str">
        <f t="shared" si="534"/>
        <v>41</v>
      </c>
      <c r="D2826" t="s">
        <v>120</v>
      </c>
      <c r="E2826" t="s">
        <v>116</v>
      </c>
      <c r="F2826" t="s">
        <v>117</v>
      </c>
      <c r="H2826" t="s">
        <v>735</v>
      </c>
      <c r="I2826" t="str">
        <f>"101570001105824"</f>
        <v>101570001105824</v>
      </c>
      <c r="J2826" t="str">
        <f t="shared" si="535"/>
        <v>125031</v>
      </c>
      <c r="K2826" t="s">
        <v>38</v>
      </c>
      <c r="L2826">
        <v>49</v>
      </c>
      <c r="M2826">
        <v>49</v>
      </c>
      <c r="N2826">
        <v>0</v>
      </c>
      <c r="O2826" s="1">
        <v>45582.344155092593</v>
      </c>
      <c r="P2826" t="s">
        <v>138</v>
      </c>
    </row>
    <row r="2827" spans="1:16" x14ac:dyDescent="0.3">
      <c r="A2827" t="s">
        <v>25</v>
      </c>
      <c r="B2827" s="1">
        <v>45582.344143518516</v>
      </c>
      <c r="C2827" t="str">
        <f t="shared" si="534"/>
        <v>41</v>
      </c>
      <c r="D2827" t="s">
        <v>120</v>
      </c>
      <c r="E2827" t="s">
        <v>116</v>
      </c>
      <c r="F2827" t="s">
        <v>117</v>
      </c>
      <c r="H2827" t="s">
        <v>735</v>
      </c>
      <c r="I2827" t="str">
        <f>"101570001105825"</f>
        <v>101570001105825</v>
      </c>
      <c r="J2827" t="str">
        <f t="shared" si="535"/>
        <v>125031</v>
      </c>
      <c r="K2827" t="s">
        <v>38</v>
      </c>
      <c r="L2827">
        <v>49</v>
      </c>
      <c r="M2827">
        <v>49</v>
      </c>
      <c r="N2827">
        <v>0</v>
      </c>
      <c r="O2827" s="1">
        <v>45582.344143518516</v>
      </c>
      <c r="P2827" t="s">
        <v>138</v>
      </c>
    </row>
    <row r="2828" spans="1:16" x14ac:dyDescent="0.3">
      <c r="A2828" t="s">
        <v>25</v>
      </c>
      <c r="B2828" s="1">
        <v>45582.344143518516</v>
      </c>
      <c r="C2828" t="str">
        <f t="shared" si="534"/>
        <v>41</v>
      </c>
      <c r="D2828" t="s">
        <v>120</v>
      </c>
      <c r="E2828" t="s">
        <v>116</v>
      </c>
      <c r="F2828" t="s">
        <v>117</v>
      </c>
      <c r="H2828" t="s">
        <v>735</v>
      </c>
      <c r="I2828" t="str">
        <f>"101570001105826"</f>
        <v>101570001105826</v>
      </c>
      <c r="J2828" t="str">
        <f t="shared" si="535"/>
        <v>125031</v>
      </c>
      <c r="K2828" t="s">
        <v>38</v>
      </c>
      <c r="L2828">
        <v>49</v>
      </c>
      <c r="M2828">
        <v>49</v>
      </c>
      <c r="N2828">
        <v>0</v>
      </c>
      <c r="O2828" s="1">
        <v>45582.344143518516</v>
      </c>
      <c r="P2828" t="s">
        <v>138</v>
      </c>
    </row>
    <row r="2829" spans="1:16" x14ac:dyDescent="0.3">
      <c r="A2829" t="s">
        <v>25</v>
      </c>
      <c r="B2829" s="1">
        <v>45582.344143518516</v>
      </c>
      <c r="C2829" t="str">
        <f t="shared" si="534"/>
        <v>41</v>
      </c>
      <c r="D2829" t="s">
        <v>120</v>
      </c>
      <c r="E2829" t="s">
        <v>116</v>
      </c>
      <c r="F2829" t="s">
        <v>117</v>
      </c>
      <c r="H2829" t="s">
        <v>735</v>
      </c>
      <c r="I2829" t="str">
        <f>"101570001106041"</f>
        <v>101570001106041</v>
      </c>
      <c r="J2829" t="str">
        <f t="shared" si="535"/>
        <v>125031</v>
      </c>
      <c r="K2829" t="s">
        <v>38</v>
      </c>
      <c r="L2829">
        <v>49</v>
      </c>
      <c r="M2829">
        <v>49</v>
      </c>
      <c r="N2829">
        <v>0</v>
      </c>
      <c r="O2829" s="1">
        <v>45582.344143518516</v>
      </c>
      <c r="P2829" t="s">
        <v>138</v>
      </c>
    </row>
    <row r="2830" spans="1:16" x14ac:dyDescent="0.3">
      <c r="A2830" t="s">
        <v>25</v>
      </c>
      <c r="B2830" s="1">
        <v>45582.343078703707</v>
      </c>
      <c r="C2830" t="str">
        <f>"38"</f>
        <v>38</v>
      </c>
      <c r="D2830" t="s">
        <v>115</v>
      </c>
      <c r="E2830" t="s">
        <v>116</v>
      </c>
      <c r="F2830" t="s">
        <v>117</v>
      </c>
      <c r="H2830" t="s">
        <v>736</v>
      </c>
      <c r="L2830">
        <v>0</v>
      </c>
      <c r="M2830">
        <v>0</v>
      </c>
      <c r="N2830">
        <v>0</v>
      </c>
      <c r="O2830" s="1">
        <v>45582.343078703707</v>
      </c>
      <c r="P2830" t="s">
        <v>138</v>
      </c>
    </row>
    <row r="2831" spans="1:16" x14ac:dyDescent="0.3">
      <c r="A2831" t="s">
        <v>25</v>
      </c>
      <c r="B2831" s="1">
        <v>45582.343078703707</v>
      </c>
      <c r="C2831" t="str">
        <f>"41"</f>
        <v>41</v>
      </c>
      <c r="D2831" t="s">
        <v>120</v>
      </c>
      <c r="E2831" t="s">
        <v>116</v>
      </c>
      <c r="F2831" t="s">
        <v>117</v>
      </c>
      <c r="H2831" t="s">
        <v>736</v>
      </c>
      <c r="I2831" t="str">
        <f>"101050002018065"</f>
        <v>101050002018065</v>
      </c>
      <c r="J2831" t="str">
        <f>"124835"</f>
        <v>124835</v>
      </c>
      <c r="K2831" t="s">
        <v>32</v>
      </c>
      <c r="L2831">
        <v>91</v>
      </c>
      <c r="M2831">
        <v>91</v>
      </c>
      <c r="N2831">
        <v>0</v>
      </c>
      <c r="O2831" s="1">
        <v>45582.343078703707</v>
      </c>
      <c r="P2831" t="s">
        <v>138</v>
      </c>
    </row>
    <row r="2832" spans="1:16" x14ac:dyDescent="0.3">
      <c r="A2832" t="s">
        <v>25</v>
      </c>
      <c r="B2832" s="1">
        <v>45582.343078703707</v>
      </c>
      <c r="C2832" t="str">
        <f>"41"</f>
        <v>41</v>
      </c>
      <c r="D2832" t="s">
        <v>120</v>
      </c>
      <c r="E2832" t="s">
        <v>116</v>
      </c>
      <c r="F2832" t="s">
        <v>117</v>
      </c>
      <c r="H2832" t="s">
        <v>736</v>
      </c>
      <c r="I2832" t="str">
        <f>"101050002017798"</f>
        <v>101050002017798</v>
      </c>
      <c r="J2832" t="str">
        <f>"124835"</f>
        <v>124835</v>
      </c>
      <c r="K2832" t="s">
        <v>32</v>
      </c>
      <c r="L2832">
        <v>91</v>
      </c>
      <c r="M2832">
        <v>91</v>
      </c>
      <c r="N2832">
        <v>0</v>
      </c>
      <c r="O2832" s="1">
        <v>45582.343078703707</v>
      </c>
      <c r="P2832" t="s">
        <v>138</v>
      </c>
    </row>
    <row r="2833" spans="1:16" x14ac:dyDescent="0.3">
      <c r="A2833" t="s">
        <v>25</v>
      </c>
      <c r="B2833" s="1">
        <v>45582.343078703707</v>
      </c>
      <c r="C2833" t="str">
        <f>"41"</f>
        <v>41</v>
      </c>
      <c r="D2833" t="s">
        <v>120</v>
      </c>
      <c r="E2833" t="s">
        <v>116</v>
      </c>
      <c r="F2833" t="s">
        <v>117</v>
      </c>
      <c r="H2833" t="s">
        <v>736</v>
      </c>
      <c r="I2833" t="str">
        <f>"101050002017800"</f>
        <v>101050002017800</v>
      </c>
      <c r="J2833" t="str">
        <f>"124835"</f>
        <v>124835</v>
      </c>
      <c r="K2833" t="s">
        <v>32</v>
      </c>
      <c r="L2833">
        <v>91</v>
      </c>
      <c r="M2833">
        <v>91</v>
      </c>
      <c r="N2833">
        <v>0</v>
      </c>
      <c r="O2833" s="1">
        <v>45582.343078703707</v>
      </c>
      <c r="P2833" t="s">
        <v>138</v>
      </c>
    </row>
    <row r="2834" spans="1:16" x14ac:dyDescent="0.3">
      <c r="A2834" t="s">
        <v>25</v>
      </c>
      <c r="B2834" s="1">
        <v>45582.342939814815</v>
      </c>
      <c r="C2834" t="str">
        <f>"38"</f>
        <v>38</v>
      </c>
      <c r="D2834" t="s">
        <v>115</v>
      </c>
      <c r="E2834" t="s">
        <v>116</v>
      </c>
      <c r="F2834" t="s">
        <v>117</v>
      </c>
      <c r="H2834" t="s">
        <v>737</v>
      </c>
      <c r="L2834">
        <v>0</v>
      </c>
      <c r="M2834">
        <v>0</v>
      </c>
      <c r="N2834">
        <v>0</v>
      </c>
      <c r="O2834" s="1">
        <v>45582.342939814815</v>
      </c>
      <c r="P2834" t="s">
        <v>392</v>
      </c>
    </row>
    <row r="2835" spans="1:16" x14ac:dyDescent="0.3">
      <c r="A2835" t="s">
        <v>25</v>
      </c>
      <c r="B2835" s="1">
        <v>45582.342939814815</v>
      </c>
      <c r="C2835" t="str">
        <f t="shared" ref="C2835:C2841" si="536">"41"</f>
        <v>41</v>
      </c>
      <c r="D2835" t="s">
        <v>120</v>
      </c>
      <c r="E2835" t="s">
        <v>116</v>
      </c>
      <c r="F2835" t="s">
        <v>117</v>
      </c>
      <c r="H2835" t="s">
        <v>737</v>
      </c>
      <c r="I2835" t="str">
        <f>"101570001105877"</f>
        <v>101570001105877</v>
      </c>
      <c r="J2835" t="str">
        <f t="shared" ref="J2835:J2841" si="537">"125031"</f>
        <v>125031</v>
      </c>
      <c r="K2835" t="s">
        <v>38</v>
      </c>
      <c r="L2835">
        <v>49</v>
      </c>
      <c r="M2835">
        <v>49</v>
      </c>
      <c r="N2835">
        <v>0</v>
      </c>
      <c r="O2835" s="1">
        <v>45582.342939814815</v>
      </c>
      <c r="P2835" t="s">
        <v>392</v>
      </c>
    </row>
    <row r="2836" spans="1:16" x14ac:dyDescent="0.3">
      <c r="A2836" t="s">
        <v>25</v>
      </c>
      <c r="B2836" s="1">
        <v>45582.342939814815</v>
      </c>
      <c r="C2836" t="str">
        <f t="shared" si="536"/>
        <v>41</v>
      </c>
      <c r="D2836" t="s">
        <v>120</v>
      </c>
      <c r="E2836" t="s">
        <v>116</v>
      </c>
      <c r="F2836" t="s">
        <v>117</v>
      </c>
      <c r="H2836" t="s">
        <v>737</v>
      </c>
      <c r="I2836" t="str">
        <f>"101570001105823"</f>
        <v>101570001105823</v>
      </c>
      <c r="J2836" t="str">
        <f t="shared" si="537"/>
        <v>125031</v>
      </c>
      <c r="K2836" t="s">
        <v>38</v>
      </c>
      <c r="L2836">
        <v>49</v>
      </c>
      <c r="M2836">
        <v>49</v>
      </c>
      <c r="N2836">
        <v>0</v>
      </c>
      <c r="O2836" s="1">
        <v>45582.342939814815</v>
      </c>
      <c r="P2836" t="s">
        <v>392</v>
      </c>
    </row>
    <row r="2837" spans="1:16" x14ac:dyDescent="0.3">
      <c r="A2837" t="s">
        <v>25</v>
      </c>
      <c r="B2837" s="1">
        <v>45582.342939814815</v>
      </c>
      <c r="C2837" t="str">
        <f t="shared" si="536"/>
        <v>41</v>
      </c>
      <c r="D2837" t="s">
        <v>120</v>
      </c>
      <c r="E2837" t="s">
        <v>116</v>
      </c>
      <c r="F2837" t="s">
        <v>117</v>
      </c>
      <c r="H2837" t="s">
        <v>737</v>
      </c>
      <c r="I2837" t="str">
        <f>"101570001105867"</f>
        <v>101570001105867</v>
      </c>
      <c r="J2837" t="str">
        <f t="shared" si="537"/>
        <v>125031</v>
      </c>
      <c r="K2837" t="s">
        <v>38</v>
      </c>
      <c r="L2837">
        <v>49</v>
      </c>
      <c r="M2837">
        <v>49</v>
      </c>
      <c r="N2837">
        <v>0</v>
      </c>
      <c r="O2837" s="1">
        <v>45582.342939814815</v>
      </c>
      <c r="P2837" t="s">
        <v>392</v>
      </c>
    </row>
    <row r="2838" spans="1:16" x14ac:dyDescent="0.3">
      <c r="A2838" t="s">
        <v>25</v>
      </c>
      <c r="B2838" s="1">
        <v>45582.342939814815</v>
      </c>
      <c r="C2838" t="str">
        <f t="shared" si="536"/>
        <v>41</v>
      </c>
      <c r="D2838" t="s">
        <v>120</v>
      </c>
      <c r="E2838" t="s">
        <v>116</v>
      </c>
      <c r="F2838" t="s">
        <v>117</v>
      </c>
      <c r="H2838" t="s">
        <v>737</v>
      </c>
      <c r="I2838" t="str">
        <f>"101570001105878"</f>
        <v>101570001105878</v>
      </c>
      <c r="J2838" t="str">
        <f t="shared" si="537"/>
        <v>125031</v>
      </c>
      <c r="K2838" t="s">
        <v>38</v>
      </c>
      <c r="L2838">
        <v>49</v>
      </c>
      <c r="M2838">
        <v>49</v>
      </c>
      <c r="N2838">
        <v>0</v>
      </c>
      <c r="O2838" s="1">
        <v>45582.342939814815</v>
      </c>
      <c r="P2838" t="s">
        <v>392</v>
      </c>
    </row>
    <row r="2839" spans="1:16" x14ac:dyDescent="0.3">
      <c r="A2839" t="s">
        <v>25</v>
      </c>
      <c r="B2839" s="1">
        <v>45582.342939814815</v>
      </c>
      <c r="C2839" t="str">
        <f t="shared" si="536"/>
        <v>41</v>
      </c>
      <c r="D2839" t="s">
        <v>120</v>
      </c>
      <c r="E2839" t="s">
        <v>116</v>
      </c>
      <c r="F2839" t="s">
        <v>117</v>
      </c>
      <c r="H2839" t="s">
        <v>737</v>
      </c>
      <c r="I2839" t="str">
        <f>"101570001105883"</f>
        <v>101570001105883</v>
      </c>
      <c r="J2839" t="str">
        <f t="shared" si="537"/>
        <v>125031</v>
      </c>
      <c r="K2839" t="s">
        <v>38</v>
      </c>
      <c r="L2839">
        <v>49</v>
      </c>
      <c r="M2839">
        <v>49</v>
      </c>
      <c r="N2839">
        <v>0</v>
      </c>
      <c r="O2839" s="1">
        <v>45582.342939814815</v>
      </c>
      <c r="P2839" t="s">
        <v>392</v>
      </c>
    </row>
    <row r="2840" spans="1:16" x14ac:dyDescent="0.3">
      <c r="A2840" t="s">
        <v>25</v>
      </c>
      <c r="B2840" s="1">
        <v>45582.342939814815</v>
      </c>
      <c r="C2840" t="str">
        <f t="shared" si="536"/>
        <v>41</v>
      </c>
      <c r="D2840" t="s">
        <v>120</v>
      </c>
      <c r="E2840" t="s">
        <v>116</v>
      </c>
      <c r="F2840" t="s">
        <v>117</v>
      </c>
      <c r="H2840" t="s">
        <v>737</v>
      </c>
      <c r="I2840" t="str">
        <f>"101570001106040"</f>
        <v>101570001106040</v>
      </c>
      <c r="J2840" t="str">
        <f t="shared" si="537"/>
        <v>125031</v>
      </c>
      <c r="K2840" t="s">
        <v>38</v>
      </c>
      <c r="L2840">
        <v>49</v>
      </c>
      <c r="M2840">
        <v>49</v>
      </c>
      <c r="N2840">
        <v>0</v>
      </c>
      <c r="O2840" s="1">
        <v>45582.342939814815</v>
      </c>
      <c r="P2840" t="s">
        <v>392</v>
      </c>
    </row>
    <row r="2841" spans="1:16" x14ac:dyDescent="0.3">
      <c r="A2841" t="s">
        <v>25</v>
      </c>
      <c r="B2841" s="1">
        <v>45582.342928240738</v>
      </c>
      <c r="C2841" t="str">
        <f t="shared" si="536"/>
        <v>41</v>
      </c>
      <c r="D2841" t="s">
        <v>120</v>
      </c>
      <c r="E2841" t="s">
        <v>116</v>
      </c>
      <c r="F2841" t="s">
        <v>117</v>
      </c>
      <c r="H2841" t="s">
        <v>737</v>
      </c>
      <c r="I2841" t="str">
        <f>"101570001105880"</f>
        <v>101570001105880</v>
      </c>
      <c r="J2841" t="str">
        <f t="shared" si="537"/>
        <v>125031</v>
      </c>
      <c r="K2841" t="s">
        <v>38</v>
      </c>
      <c r="L2841">
        <v>49</v>
      </c>
      <c r="M2841">
        <v>49</v>
      </c>
      <c r="N2841">
        <v>0</v>
      </c>
      <c r="O2841" s="1">
        <v>45582.342928240738</v>
      </c>
      <c r="P2841" t="s">
        <v>392</v>
      </c>
    </row>
    <row r="2842" spans="1:16" x14ac:dyDescent="0.3">
      <c r="A2842" t="s">
        <v>25</v>
      </c>
      <c r="B2842" s="1">
        <v>45582.342187499999</v>
      </c>
      <c r="C2842" t="str">
        <f>"38"</f>
        <v>38</v>
      </c>
      <c r="D2842" t="s">
        <v>115</v>
      </c>
      <c r="E2842" t="s">
        <v>116</v>
      </c>
      <c r="F2842" t="s">
        <v>117</v>
      </c>
      <c r="H2842" t="s">
        <v>738</v>
      </c>
      <c r="L2842">
        <v>0</v>
      </c>
      <c r="M2842">
        <v>0</v>
      </c>
      <c r="N2842">
        <v>0</v>
      </c>
      <c r="O2842" s="1">
        <v>45582.342187499999</v>
      </c>
      <c r="P2842" t="s">
        <v>138</v>
      </c>
    </row>
    <row r="2843" spans="1:16" x14ac:dyDescent="0.3">
      <c r="A2843" t="s">
        <v>25</v>
      </c>
      <c r="B2843" s="1">
        <v>45582.342129629629</v>
      </c>
      <c r="C2843" t="str">
        <f>"38"</f>
        <v>38</v>
      </c>
      <c r="D2843" t="s">
        <v>115</v>
      </c>
      <c r="E2843" t="s">
        <v>116</v>
      </c>
      <c r="F2843" t="s">
        <v>117</v>
      </c>
      <c r="H2843" t="s">
        <v>739</v>
      </c>
      <c r="L2843">
        <v>0</v>
      </c>
      <c r="M2843">
        <v>0</v>
      </c>
      <c r="N2843">
        <v>0</v>
      </c>
      <c r="O2843" s="1">
        <v>45582.342129629629</v>
      </c>
      <c r="P2843" t="s">
        <v>392</v>
      </c>
    </row>
    <row r="2844" spans="1:16" x14ac:dyDescent="0.3">
      <c r="A2844" t="s">
        <v>25</v>
      </c>
      <c r="B2844" s="1">
        <v>45582.342129629629</v>
      </c>
      <c r="C2844" t="str">
        <f t="shared" ref="C2844:C2852" si="538">"41"</f>
        <v>41</v>
      </c>
      <c r="D2844" t="s">
        <v>120</v>
      </c>
      <c r="E2844" t="s">
        <v>116</v>
      </c>
      <c r="F2844" t="s">
        <v>117</v>
      </c>
      <c r="H2844" t="s">
        <v>739</v>
      </c>
      <c r="I2844" t="str">
        <f>"101050002010629"</f>
        <v>101050002010629</v>
      </c>
      <c r="J2844" t="str">
        <f t="shared" ref="J2844:J2852" si="539">"514578"</f>
        <v>514578</v>
      </c>
      <c r="K2844" t="s">
        <v>88</v>
      </c>
      <c r="L2844">
        <v>49</v>
      </c>
      <c r="M2844">
        <v>49</v>
      </c>
      <c r="N2844">
        <v>0</v>
      </c>
      <c r="O2844" s="1">
        <v>45582.342129629629</v>
      </c>
      <c r="P2844" t="s">
        <v>392</v>
      </c>
    </row>
    <row r="2845" spans="1:16" x14ac:dyDescent="0.3">
      <c r="A2845" t="s">
        <v>25</v>
      </c>
      <c r="B2845" s="1">
        <v>45582.342129629629</v>
      </c>
      <c r="C2845" t="str">
        <f t="shared" si="538"/>
        <v>41</v>
      </c>
      <c r="D2845" t="s">
        <v>120</v>
      </c>
      <c r="E2845" t="s">
        <v>116</v>
      </c>
      <c r="F2845" t="s">
        <v>117</v>
      </c>
      <c r="H2845" t="s">
        <v>739</v>
      </c>
      <c r="I2845" t="str">
        <f>"101050002010892"</f>
        <v>101050002010892</v>
      </c>
      <c r="J2845" t="str">
        <f t="shared" si="539"/>
        <v>514578</v>
      </c>
      <c r="K2845" t="s">
        <v>88</v>
      </c>
      <c r="L2845">
        <v>49</v>
      </c>
      <c r="M2845">
        <v>49</v>
      </c>
      <c r="N2845">
        <v>0</v>
      </c>
      <c r="O2845" s="1">
        <v>45582.342129629629</v>
      </c>
      <c r="P2845" t="s">
        <v>392</v>
      </c>
    </row>
    <row r="2846" spans="1:16" x14ac:dyDescent="0.3">
      <c r="A2846" t="s">
        <v>25</v>
      </c>
      <c r="B2846" s="1">
        <v>45582.342129629629</v>
      </c>
      <c r="C2846" t="str">
        <f t="shared" si="538"/>
        <v>41</v>
      </c>
      <c r="D2846" t="s">
        <v>120</v>
      </c>
      <c r="E2846" t="s">
        <v>116</v>
      </c>
      <c r="F2846" t="s">
        <v>117</v>
      </c>
      <c r="H2846" t="s">
        <v>739</v>
      </c>
      <c r="I2846" t="str">
        <f>"101050002010790"</f>
        <v>101050002010790</v>
      </c>
      <c r="J2846" t="str">
        <f t="shared" si="539"/>
        <v>514578</v>
      </c>
      <c r="K2846" t="s">
        <v>88</v>
      </c>
      <c r="L2846">
        <v>49</v>
      </c>
      <c r="M2846">
        <v>49</v>
      </c>
      <c r="N2846">
        <v>0</v>
      </c>
      <c r="O2846" s="1">
        <v>45582.342129629629</v>
      </c>
      <c r="P2846" t="s">
        <v>392</v>
      </c>
    </row>
    <row r="2847" spans="1:16" x14ac:dyDescent="0.3">
      <c r="A2847" t="s">
        <v>25</v>
      </c>
      <c r="B2847" s="1">
        <v>45582.342129629629</v>
      </c>
      <c r="C2847" t="str">
        <f t="shared" si="538"/>
        <v>41</v>
      </c>
      <c r="D2847" t="s">
        <v>120</v>
      </c>
      <c r="E2847" t="s">
        <v>116</v>
      </c>
      <c r="F2847" t="s">
        <v>117</v>
      </c>
      <c r="H2847" t="s">
        <v>739</v>
      </c>
      <c r="I2847" t="str">
        <f>"101050002010828"</f>
        <v>101050002010828</v>
      </c>
      <c r="J2847" t="str">
        <f t="shared" si="539"/>
        <v>514578</v>
      </c>
      <c r="K2847" t="s">
        <v>88</v>
      </c>
      <c r="L2847">
        <v>49</v>
      </c>
      <c r="M2847">
        <v>49</v>
      </c>
      <c r="N2847">
        <v>0</v>
      </c>
      <c r="O2847" s="1">
        <v>45582.342129629629</v>
      </c>
      <c r="P2847" t="s">
        <v>392</v>
      </c>
    </row>
    <row r="2848" spans="1:16" x14ac:dyDescent="0.3">
      <c r="A2848" t="s">
        <v>25</v>
      </c>
      <c r="B2848" s="1">
        <v>45582.342129629629</v>
      </c>
      <c r="C2848" t="str">
        <f t="shared" si="538"/>
        <v>41</v>
      </c>
      <c r="D2848" t="s">
        <v>120</v>
      </c>
      <c r="E2848" t="s">
        <v>116</v>
      </c>
      <c r="F2848" t="s">
        <v>117</v>
      </c>
      <c r="H2848" t="s">
        <v>739</v>
      </c>
      <c r="I2848" t="str">
        <f>"101050002010525"</f>
        <v>101050002010525</v>
      </c>
      <c r="J2848" t="str">
        <f t="shared" si="539"/>
        <v>514578</v>
      </c>
      <c r="K2848" t="s">
        <v>88</v>
      </c>
      <c r="L2848">
        <v>49</v>
      </c>
      <c r="M2848">
        <v>49</v>
      </c>
      <c r="N2848">
        <v>0</v>
      </c>
      <c r="O2848" s="1">
        <v>45582.342129629629</v>
      </c>
      <c r="P2848" t="s">
        <v>392</v>
      </c>
    </row>
    <row r="2849" spans="1:16" x14ac:dyDescent="0.3">
      <c r="A2849" t="s">
        <v>25</v>
      </c>
      <c r="B2849" s="1">
        <v>45582.342118055552</v>
      </c>
      <c r="C2849" t="str">
        <f t="shared" si="538"/>
        <v>41</v>
      </c>
      <c r="D2849" t="s">
        <v>120</v>
      </c>
      <c r="E2849" t="s">
        <v>116</v>
      </c>
      <c r="F2849" t="s">
        <v>117</v>
      </c>
      <c r="H2849" t="s">
        <v>739</v>
      </c>
      <c r="I2849" t="str">
        <f>"101050002010628"</f>
        <v>101050002010628</v>
      </c>
      <c r="J2849" t="str">
        <f t="shared" si="539"/>
        <v>514578</v>
      </c>
      <c r="K2849" t="s">
        <v>88</v>
      </c>
      <c r="L2849">
        <v>49</v>
      </c>
      <c r="M2849">
        <v>49</v>
      </c>
      <c r="N2849">
        <v>0</v>
      </c>
      <c r="O2849" s="1">
        <v>45582.342118055552</v>
      </c>
      <c r="P2849" t="s">
        <v>392</v>
      </c>
    </row>
    <row r="2850" spans="1:16" x14ac:dyDescent="0.3">
      <c r="A2850" t="s">
        <v>25</v>
      </c>
      <c r="B2850" s="1">
        <v>45582.342118055552</v>
      </c>
      <c r="C2850" t="str">
        <f t="shared" si="538"/>
        <v>41</v>
      </c>
      <c r="D2850" t="s">
        <v>120</v>
      </c>
      <c r="E2850" t="s">
        <v>116</v>
      </c>
      <c r="F2850" t="s">
        <v>117</v>
      </c>
      <c r="H2850" t="s">
        <v>739</v>
      </c>
      <c r="I2850" t="str">
        <f>"101050002010625"</f>
        <v>101050002010625</v>
      </c>
      <c r="J2850" t="str">
        <f t="shared" si="539"/>
        <v>514578</v>
      </c>
      <c r="K2850" t="s">
        <v>88</v>
      </c>
      <c r="L2850">
        <v>49</v>
      </c>
      <c r="M2850">
        <v>49</v>
      </c>
      <c r="N2850">
        <v>0</v>
      </c>
      <c r="O2850" s="1">
        <v>45582.342118055552</v>
      </c>
      <c r="P2850" t="s">
        <v>392</v>
      </c>
    </row>
    <row r="2851" spans="1:16" x14ac:dyDescent="0.3">
      <c r="A2851" t="s">
        <v>25</v>
      </c>
      <c r="B2851" s="1">
        <v>45582.342175925929</v>
      </c>
      <c r="C2851" t="str">
        <f t="shared" si="538"/>
        <v>41</v>
      </c>
      <c r="D2851" t="s">
        <v>120</v>
      </c>
      <c r="E2851" t="s">
        <v>116</v>
      </c>
      <c r="F2851" t="s">
        <v>117</v>
      </c>
      <c r="H2851" t="s">
        <v>738</v>
      </c>
      <c r="I2851" t="str">
        <f>"101050001977653"</f>
        <v>101050001977653</v>
      </c>
      <c r="J2851" t="str">
        <f t="shared" si="539"/>
        <v>514578</v>
      </c>
      <c r="K2851" t="s">
        <v>88</v>
      </c>
      <c r="L2851">
        <v>49</v>
      </c>
      <c r="M2851">
        <v>49</v>
      </c>
      <c r="N2851">
        <v>0</v>
      </c>
      <c r="O2851" s="1">
        <v>45582.342175925929</v>
      </c>
      <c r="P2851" t="s">
        <v>138</v>
      </c>
    </row>
    <row r="2852" spans="1:16" x14ac:dyDescent="0.3">
      <c r="A2852" t="s">
        <v>25</v>
      </c>
      <c r="B2852" s="1">
        <v>45582.342175925929</v>
      </c>
      <c r="C2852" t="str">
        <f t="shared" si="538"/>
        <v>41</v>
      </c>
      <c r="D2852" t="s">
        <v>120</v>
      </c>
      <c r="E2852" t="s">
        <v>116</v>
      </c>
      <c r="F2852" t="s">
        <v>117</v>
      </c>
      <c r="H2852" t="s">
        <v>738</v>
      </c>
      <c r="I2852" t="str">
        <f>"101050001977679"</f>
        <v>101050001977679</v>
      </c>
      <c r="J2852" t="str">
        <f t="shared" si="539"/>
        <v>514578</v>
      </c>
      <c r="K2852" t="s">
        <v>88</v>
      </c>
      <c r="L2852">
        <v>49</v>
      </c>
      <c r="M2852">
        <v>49</v>
      </c>
      <c r="N2852">
        <v>0</v>
      </c>
      <c r="O2852" s="1">
        <v>45582.342175925929</v>
      </c>
      <c r="P2852" t="s">
        <v>138</v>
      </c>
    </row>
    <row r="2853" spans="1:16" x14ac:dyDescent="0.3">
      <c r="A2853" t="s">
        <v>25</v>
      </c>
      <c r="B2853" s="1">
        <v>45582.34065972222</v>
      </c>
      <c r="C2853" t="str">
        <f>"38"</f>
        <v>38</v>
      </c>
      <c r="D2853" t="s">
        <v>115</v>
      </c>
      <c r="E2853" t="s">
        <v>116</v>
      </c>
      <c r="F2853" t="s">
        <v>117</v>
      </c>
      <c r="H2853" t="s">
        <v>740</v>
      </c>
      <c r="L2853">
        <v>0</v>
      </c>
      <c r="M2853">
        <v>0</v>
      </c>
      <c r="N2853">
        <v>0</v>
      </c>
      <c r="O2853" s="1">
        <v>45582.34065972222</v>
      </c>
      <c r="P2853" t="s">
        <v>122</v>
      </c>
    </row>
    <row r="2854" spans="1:16" x14ac:dyDescent="0.3">
      <c r="A2854" t="s">
        <v>25</v>
      </c>
      <c r="B2854" s="1">
        <v>45582.34065972222</v>
      </c>
      <c r="C2854" t="str">
        <f t="shared" ref="C2854:C2860" si="540">"41"</f>
        <v>41</v>
      </c>
      <c r="D2854" t="s">
        <v>120</v>
      </c>
      <c r="E2854" t="s">
        <v>116</v>
      </c>
      <c r="F2854" t="s">
        <v>117</v>
      </c>
      <c r="H2854" t="s">
        <v>740</v>
      </c>
      <c r="I2854" t="str">
        <f>"101050001911581"</f>
        <v>101050001911581</v>
      </c>
      <c r="J2854" t="str">
        <f t="shared" ref="J2854:J2860" si="541">"125192"</f>
        <v>125192</v>
      </c>
      <c r="K2854" t="s">
        <v>42</v>
      </c>
      <c r="L2854">
        <v>49</v>
      </c>
      <c r="M2854">
        <v>49</v>
      </c>
      <c r="N2854">
        <v>0</v>
      </c>
      <c r="O2854" s="1">
        <v>45582.34065972222</v>
      </c>
      <c r="P2854" t="s">
        <v>122</v>
      </c>
    </row>
    <row r="2855" spans="1:16" x14ac:dyDescent="0.3">
      <c r="A2855" t="s">
        <v>25</v>
      </c>
      <c r="B2855" s="1">
        <v>45582.340648148151</v>
      </c>
      <c r="C2855" t="str">
        <f t="shared" si="540"/>
        <v>41</v>
      </c>
      <c r="D2855" t="s">
        <v>120</v>
      </c>
      <c r="E2855" t="s">
        <v>116</v>
      </c>
      <c r="F2855" t="s">
        <v>117</v>
      </c>
      <c r="H2855" t="s">
        <v>740</v>
      </c>
      <c r="I2855" t="str">
        <f>"101050001911580"</f>
        <v>101050001911580</v>
      </c>
      <c r="J2855" t="str">
        <f t="shared" si="541"/>
        <v>125192</v>
      </c>
      <c r="K2855" t="s">
        <v>42</v>
      </c>
      <c r="L2855">
        <v>49</v>
      </c>
      <c r="M2855">
        <v>49</v>
      </c>
      <c r="N2855">
        <v>0</v>
      </c>
      <c r="O2855" s="1">
        <v>45582.340648148151</v>
      </c>
      <c r="P2855" t="s">
        <v>122</v>
      </c>
    </row>
    <row r="2856" spans="1:16" x14ac:dyDescent="0.3">
      <c r="A2856" t="s">
        <v>25</v>
      </c>
      <c r="B2856" s="1">
        <v>45582.340648148151</v>
      </c>
      <c r="C2856" t="str">
        <f t="shared" si="540"/>
        <v>41</v>
      </c>
      <c r="D2856" t="s">
        <v>120</v>
      </c>
      <c r="E2856" t="s">
        <v>116</v>
      </c>
      <c r="F2856" t="s">
        <v>117</v>
      </c>
      <c r="H2856" t="s">
        <v>740</v>
      </c>
      <c r="I2856" t="str">
        <f>"101050001911327"</f>
        <v>101050001911327</v>
      </c>
      <c r="J2856" t="str">
        <f t="shared" si="541"/>
        <v>125192</v>
      </c>
      <c r="K2856" t="s">
        <v>42</v>
      </c>
      <c r="L2856">
        <v>49</v>
      </c>
      <c r="M2856">
        <v>49</v>
      </c>
      <c r="N2856">
        <v>0</v>
      </c>
      <c r="O2856" s="1">
        <v>45582.340648148151</v>
      </c>
      <c r="P2856" t="s">
        <v>122</v>
      </c>
    </row>
    <row r="2857" spans="1:16" x14ac:dyDescent="0.3">
      <c r="A2857" t="s">
        <v>25</v>
      </c>
      <c r="B2857" s="1">
        <v>45582.340648148151</v>
      </c>
      <c r="C2857" t="str">
        <f t="shared" si="540"/>
        <v>41</v>
      </c>
      <c r="D2857" t="s">
        <v>120</v>
      </c>
      <c r="E2857" t="s">
        <v>116</v>
      </c>
      <c r="F2857" t="s">
        <v>117</v>
      </c>
      <c r="H2857" t="s">
        <v>740</v>
      </c>
      <c r="I2857" t="str">
        <f>"101050001911326"</f>
        <v>101050001911326</v>
      </c>
      <c r="J2857" t="str">
        <f t="shared" si="541"/>
        <v>125192</v>
      </c>
      <c r="K2857" t="s">
        <v>42</v>
      </c>
      <c r="L2857">
        <v>49</v>
      </c>
      <c r="M2857">
        <v>49</v>
      </c>
      <c r="N2857">
        <v>0</v>
      </c>
      <c r="O2857" s="1">
        <v>45582.340648148151</v>
      </c>
      <c r="P2857" t="s">
        <v>122</v>
      </c>
    </row>
    <row r="2858" spans="1:16" x14ac:dyDescent="0.3">
      <c r="A2858" t="s">
        <v>25</v>
      </c>
      <c r="B2858" s="1">
        <v>45582.340648148151</v>
      </c>
      <c r="C2858" t="str">
        <f t="shared" si="540"/>
        <v>41</v>
      </c>
      <c r="D2858" t="s">
        <v>120</v>
      </c>
      <c r="E2858" t="s">
        <v>116</v>
      </c>
      <c r="F2858" t="s">
        <v>117</v>
      </c>
      <c r="H2858" t="s">
        <v>740</v>
      </c>
      <c r="I2858" t="str">
        <f>"101050001911262"</f>
        <v>101050001911262</v>
      </c>
      <c r="J2858" t="str">
        <f t="shared" si="541"/>
        <v>125192</v>
      </c>
      <c r="K2858" t="s">
        <v>42</v>
      </c>
      <c r="L2858">
        <v>49</v>
      </c>
      <c r="M2858">
        <v>49</v>
      </c>
      <c r="N2858">
        <v>0</v>
      </c>
      <c r="O2858" s="1">
        <v>45582.340648148151</v>
      </c>
      <c r="P2858" t="s">
        <v>122</v>
      </c>
    </row>
    <row r="2859" spans="1:16" x14ac:dyDescent="0.3">
      <c r="A2859" t="s">
        <v>25</v>
      </c>
      <c r="B2859" s="1">
        <v>45582.340648148151</v>
      </c>
      <c r="C2859" t="str">
        <f t="shared" si="540"/>
        <v>41</v>
      </c>
      <c r="D2859" t="s">
        <v>120</v>
      </c>
      <c r="E2859" t="s">
        <v>116</v>
      </c>
      <c r="F2859" t="s">
        <v>117</v>
      </c>
      <c r="H2859" t="s">
        <v>740</v>
      </c>
      <c r="I2859" t="str">
        <f>"101050001911261"</f>
        <v>101050001911261</v>
      </c>
      <c r="J2859" t="str">
        <f t="shared" si="541"/>
        <v>125192</v>
      </c>
      <c r="K2859" t="s">
        <v>42</v>
      </c>
      <c r="L2859">
        <v>49</v>
      </c>
      <c r="M2859">
        <v>49</v>
      </c>
      <c r="N2859">
        <v>0</v>
      </c>
      <c r="O2859" s="1">
        <v>45582.340648148151</v>
      </c>
      <c r="P2859" t="s">
        <v>122</v>
      </c>
    </row>
    <row r="2860" spans="1:16" x14ac:dyDescent="0.3">
      <c r="A2860" t="s">
        <v>25</v>
      </c>
      <c r="B2860" s="1">
        <v>45582.340648148151</v>
      </c>
      <c r="C2860" t="str">
        <f t="shared" si="540"/>
        <v>41</v>
      </c>
      <c r="D2860" t="s">
        <v>120</v>
      </c>
      <c r="E2860" t="s">
        <v>116</v>
      </c>
      <c r="F2860" t="s">
        <v>117</v>
      </c>
      <c r="H2860" t="s">
        <v>740</v>
      </c>
      <c r="I2860" t="str">
        <f>"101050001911257"</f>
        <v>101050001911257</v>
      </c>
      <c r="J2860" t="str">
        <f t="shared" si="541"/>
        <v>125192</v>
      </c>
      <c r="K2860" t="s">
        <v>42</v>
      </c>
      <c r="L2860">
        <v>49</v>
      </c>
      <c r="M2860">
        <v>49</v>
      </c>
      <c r="N2860">
        <v>0</v>
      </c>
      <c r="O2860" s="1">
        <v>45582.340648148151</v>
      </c>
      <c r="P2860" t="s">
        <v>122</v>
      </c>
    </row>
    <row r="2861" spans="1:16" x14ac:dyDescent="0.3">
      <c r="A2861" t="s">
        <v>25</v>
      </c>
      <c r="B2861" s="1">
        <v>45582.339942129627</v>
      </c>
      <c r="C2861" t="str">
        <f>"38"</f>
        <v>38</v>
      </c>
      <c r="D2861" t="s">
        <v>115</v>
      </c>
      <c r="E2861" t="s">
        <v>116</v>
      </c>
      <c r="F2861" t="s">
        <v>117</v>
      </c>
      <c r="H2861" t="s">
        <v>741</v>
      </c>
      <c r="L2861">
        <v>0</v>
      </c>
      <c r="M2861">
        <v>0</v>
      </c>
      <c r="N2861">
        <v>0</v>
      </c>
      <c r="O2861" s="1">
        <v>45582.339942129627</v>
      </c>
      <c r="P2861" t="s">
        <v>392</v>
      </c>
    </row>
    <row r="2862" spans="1:16" x14ac:dyDescent="0.3">
      <c r="A2862" t="s">
        <v>25</v>
      </c>
      <c r="B2862" s="1">
        <v>45582.339895833335</v>
      </c>
      <c r="C2862" t="str">
        <f>"38"</f>
        <v>38</v>
      </c>
      <c r="D2862" t="s">
        <v>115</v>
      </c>
      <c r="E2862" t="s">
        <v>116</v>
      </c>
      <c r="F2862" t="s">
        <v>117</v>
      </c>
      <c r="H2862" t="s">
        <v>742</v>
      </c>
      <c r="L2862">
        <v>0</v>
      </c>
      <c r="M2862">
        <v>0</v>
      </c>
      <c r="N2862">
        <v>0</v>
      </c>
      <c r="O2862" s="1">
        <v>45582.339895833335</v>
      </c>
      <c r="P2862" t="s">
        <v>392</v>
      </c>
    </row>
    <row r="2863" spans="1:16" x14ac:dyDescent="0.3">
      <c r="A2863" t="s">
        <v>25</v>
      </c>
      <c r="B2863" s="1">
        <v>45582.339409722219</v>
      </c>
      <c r="C2863" t="str">
        <f>"38"</f>
        <v>38</v>
      </c>
      <c r="D2863" t="s">
        <v>115</v>
      </c>
      <c r="E2863" t="s">
        <v>116</v>
      </c>
      <c r="F2863" t="s">
        <v>117</v>
      </c>
      <c r="H2863" t="s">
        <v>743</v>
      </c>
      <c r="L2863">
        <v>0</v>
      </c>
      <c r="M2863">
        <v>0</v>
      </c>
      <c r="N2863">
        <v>0</v>
      </c>
      <c r="O2863" s="1">
        <v>45582.339409722219</v>
      </c>
      <c r="P2863" t="s">
        <v>122</v>
      </c>
    </row>
    <row r="2864" spans="1:16" x14ac:dyDescent="0.3">
      <c r="A2864" t="s">
        <v>25</v>
      </c>
      <c r="B2864" s="1">
        <v>45582.339409722219</v>
      </c>
      <c r="C2864" t="str">
        <f t="shared" ref="C2864:C2869" si="542">"41"</f>
        <v>41</v>
      </c>
      <c r="D2864" t="s">
        <v>120</v>
      </c>
      <c r="E2864" t="s">
        <v>116</v>
      </c>
      <c r="F2864" t="s">
        <v>117</v>
      </c>
      <c r="H2864" t="s">
        <v>743</v>
      </c>
      <c r="I2864" t="str">
        <f>"101050002006813"</f>
        <v>101050002006813</v>
      </c>
      <c r="J2864" t="str">
        <f t="shared" ref="J2864:J2869" si="543">"123051"</f>
        <v>123051</v>
      </c>
      <c r="K2864" t="s">
        <v>27</v>
      </c>
      <c r="L2864">
        <v>49</v>
      </c>
      <c r="M2864">
        <v>49</v>
      </c>
      <c r="N2864">
        <v>0</v>
      </c>
      <c r="O2864" s="1">
        <v>45582.339409722219</v>
      </c>
      <c r="P2864" t="s">
        <v>122</v>
      </c>
    </row>
    <row r="2865" spans="1:16" x14ac:dyDescent="0.3">
      <c r="A2865" t="s">
        <v>25</v>
      </c>
      <c r="B2865" s="1">
        <v>45582.339398148149</v>
      </c>
      <c r="C2865" t="str">
        <f t="shared" si="542"/>
        <v>41</v>
      </c>
      <c r="D2865" t="s">
        <v>120</v>
      </c>
      <c r="E2865" t="s">
        <v>116</v>
      </c>
      <c r="F2865" t="s">
        <v>117</v>
      </c>
      <c r="H2865" t="s">
        <v>743</v>
      </c>
      <c r="I2865" t="str">
        <f>"101050002006812"</f>
        <v>101050002006812</v>
      </c>
      <c r="J2865" t="str">
        <f t="shared" si="543"/>
        <v>123051</v>
      </c>
      <c r="K2865" t="s">
        <v>27</v>
      </c>
      <c r="L2865">
        <v>49</v>
      </c>
      <c r="M2865">
        <v>49</v>
      </c>
      <c r="N2865">
        <v>0</v>
      </c>
      <c r="O2865" s="1">
        <v>45582.339398148149</v>
      </c>
      <c r="P2865" t="s">
        <v>122</v>
      </c>
    </row>
    <row r="2866" spans="1:16" x14ac:dyDescent="0.3">
      <c r="A2866" t="s">
        <v>25</v>
      </c>
      <c r="B2866" s="1">
        <v>45582.339398148149</v>
      </c>
      <c r="C2866" t="str">
        <f t="shared" si="542"/>
        <v>41</v>
      </c>
      <c r="D2866" t="s">
        <v>120</v>
      </c>
      <c r="E2866" t="s">
        <v>116</v>
      </c>
      <c r="F2866" t="s">
        <v>117</v>
      </c>
      <c r="H2866" t="s">
        <v>743</v>
      </c>
      <c r="I2866" t="str">
        <f>"101050002006811"</f>
        <v>101050002006811</v>
      </c>
      <c r="J2866" t="str">
        <f t="shared" si="543"/>
        <v>123051</v>
      </c>
      <c r="K2866" t="s">
        <v>27</v>
      </c>
      <c r="L2866">
        <v>49</v>
      </c>
      <c r="M2866">
        <v>49</v>
      </c>
      <c r="N2866">
        <v>0</v>
      </c>
      <c r="O2866" s="1">
        <v>45582.339398148149</v>
      </c>
      <c r="P2866" t="s">
        <v>122</v>
      </c>
    </row>
    <row r="2867" spans="1:16" x14ac:dyDescent="0.3">
      <c r="A2867" t="s">
        <v>25</v>
      </c>
      <c r="B2867" s="1">
        <v>45582.339398148149</v>
      </c>
      <c r="C2867" t="str">
        <f t="shared" si="542"/>
        <v>41</v>
      </c>
      <c r="D2867" t="s">
        <v>120</v>
      </c>
      <c r="E2867" t="s">
        <v>116</v>
      </c>
      <c r="F2867" t="s">
        <v>117</v>
      </c>
      <c r="H2867" t="s">
        <v>743</v>
      </c>
      <c r="I2867" t="str">
        <f>"101050002006810"</f>
        <v>101050002006810</v>
      </c>
      <c r="J2867" t="str">
        <f t="shared" si="543"/>
        <v>123051</v>
      </c>
      <c r="K2867" t="s">
        <v>27</v>
      </c>
      <c r="L2867">
        <v>49</v>
      </c>
      <c r="M2867">
        <v>49</v>
      </c>
      <c r="N2867">
        <v>0</v>
      </c>
      <c r="O2867" s="1">
        <v>45582.339398148149</v>
      </c>
      <c r="P2867" t="s">
        <v>122</v>
      </c>
    </row>
    <row r="2868" spans="1:16" x14ac:dyDescent="0.3">
      <c r="A2868" t="s">
        <v>25</v>
      </c>
      <c r="B2868" s="1">
        <v>45582.339398148149</v>
      </c>
      <c r="C2868" t="str">
        <f t="shared" si="542"/>
        <v>41</v>
      </c>
      <c r="D2868" t="s">
        <v>120</v>
      </c>
      <c r="E2868" t="s">
        <v>116</v>
      </c>
      <c r="F2868" t="s">
        <v>117</v>
      </c>
      <c r="H2868" t="s">
        <v>743</v>
      </c>
      <c r="I2868" t="str">
        <f>"101050002006631"</f>
        <v>101050002006631</v>
      </c>
      <c r="J2868" t="str">
        <f t="shared" si="543"/>
        <v>123051</v>
      </c>
      <c r="K2868" t="s">
        <v>27</v>
      </c>
      <c r="L2868">
        <v>49</v>
      </c>
      <c r="M2868">
        <v>49</v>
      </c>
      <c r="N2868">
        <v>0</v>
      </c>
      <c r="O2868" s="1">
        <v>45582.339398148149</v>
      </c>
      <c r="P2868" t="s">
        <v>122</v>
      </c>
    </row>
    <row r="2869" spans="1:16" x14ac:dyDescent="0.3">
      <c r="A2869" t="s">
        <v>25</v>
      </c>
      <c r="B2869" s="1">
        <v>45582.339398148149</v>
      </c>
      <c r="C2869" t="str">
        <f t="shared" si="542"/>
        <v>41</v>
      </c>
      <c r="D2869" t="s">
        <v>120</v>
      </c>
      <c r="E2869" t="s">
        <v>116</v>
      </c>
      <c r="F2869" t="s">
        <v>117</v>
      </c>
      <c r="H2869" t="s">
        <v>743</v>
      </c>
      <c r="I2869" t="str">
        <f>"101050002006372"</f>
        <v>101050002006372</v>
      </c>
      <c r="J2869" t="str">
        <f t="shared" si="543"/>
        <v>123051</v>
      </c>
      <c r="K2869" t="s">
        <v>27</v>
      </c>
      <c r="L2869">
        <v>49</v>
      </c>
      <c r="M2869">
        <v>49</v>
      </c>
      <c r="N2869">
        <v>0</v>
      </c>
      <c r="O2869" s="1">
        <v>45582.339398148149</v>
      </c>
      <c r="P2869" t="s">
        <v>122</v>
      </c>
    </row>
    <row r="2870" spans="1:16" x14ac:dyDescent="0.3">
      <c r="A2870" t="s">
        <v>25</v>
      </c>
      <c r="B2870" s="1">
        <v>45582.318206018521</v>
      </c>
      <c r="C2870" t="str">
        <f>"38"</f>
        <v>38</v>
      </c>
      <c r="D2870" t="s">
        <v>115</v>
      </c>
      <c r="E2870" t="s">
        <v>116</v>
      </c>
      <c r="F2870" t="s">
        <v>117</v>
      </c>
      <c r="H2870" t="s">
        <v>744</v>
      </c>
      <c r="L2870">
        <v>0</v>
      </c>
      <c r="M2870">
        <v>0</v>
      </c>
      <c r="N2870">
        <v>0</v>
      </c>
      <c r="O2870" s="1">
        <v>45582.318206018521</v>
      </c>
      <c r="P2870" t="s">
        <v>132</v>
      </c>
    </row>
    <row r="2871" spans="1:16" x14ac:dyDescent="0.3">
      <c r="A2871" t="s">
        <v>25</v>
      </c>
      <c r="B2871" s="1">
        <v>45582.318101851852</v>
      </c>
      <c r="C2871" t="str">
        <f>"38"</f>
        <v>38</v>
      </c>
      <c r="D2871" t="s">
        <v>115</v>
      </c>
      <c r="E2871" t="s">
        <v>116</v>
      </c>
      <c r="F2871" t="s">
        <v>117</v>
      </c>
      <c r="H2871" t="s">
        <v>745</v>
      </c>
      <c r="L2871">
        <v>0</v>
      </c>
      <c r="M2871">
        <v>0</v>
      </c>
      <c r="N2871">
        <v>0</v>
      </c>
      <c r="O2871" s="1">
        <v>45582.318101851852</v>
      </c>
      <c r="P2871" t="s">
        <v>132</v>
      </c>
    </row>
    <row r="2872" spans="1:16" x14ac:dyDescent="0.3">
      <c r="A2872" t="s">
        <v>25</v>
      </c>
      <c r="B2872" s="1">
        <v>45582.318101851852</v>
      </c>
      <c r="C2872" t="str">
        <f t="shared" ref="C2872:C2878" si="544">"41"</f>
        <v>41</v>
      </c>
      <c r="D2872" t="s">
        <v>120</v>
      </c>
      <c r="E2872" t="s">
        <v>116</v>
      </c>
      <c r="F2872" t="s">
        <v>117</v>
      </c>
      <c r="H2872" t="s">
        <v>745</v>
      </c>
      <c r="I2872" t="str">
        <f>"101620000471208"</f>
        <v>101620000471208</v>
      </c>
      <c r="J2872" t="str">
        <f t="shared" ref="J2872:J2878" si="545">"514867"</f>
        <v>514867</v>
      </c>
      <c r="K2872" t="s">
        <v>16</v>
      </c>
      <c r="L2872">
        <v>49</v>
      </c>
      <c r="M2872">
        <v>49</v>
      </c>
      <c r="N2872">
        <v>0</v>
      </c>
      <c r="O2872" s="1">
        <v>45582.318101851852</v>
      </c>
      <c r="P2872" t="s">
        <v>132</v>
      </c>
    </row>
    <row r="2873" spans="1:16" x14ac:dyDescent="0.3">
      <c r="A2873" t="s">
        <v>25</v>
      </c>
      <c r="B2873" s="1">
        <v>45582.318101851852</v>
      </c>
      <c r="C2873" t="str">
        <f t="shared" si="544"/>
        <v>41</v>
      </c>
      <c r="D2873" t="s">
        <v>120</v>
      </c>
      <c r="E2873" t="s">
        <v>116</v>
      </c>
      <c r="F2873" t="s">
        <v>117</v>
      </c>
      <c r="H2873" t="s">
        <v>745</v>
      </c>
      <c r="I2873" t="str">
        <f>"101620000471211"</f>
        <v>101620000471211</v>
      </c>
      <c r="J2873" t="str">
        <f t="shared" si="545"/>
        <v>514867</v>
      </c>
      <c r="K2873" t="s">
        <v>16</v>
      </c>
      <c r="L2873">
        <v>49</v>
      </c>
      <c r="M2873">
        <v>49</v>
      </c>
      <c r="N2873">
        <v>0</v>
      </c>
      <c r="O2873" s="1">
        <v>45582.318101851852</v>
      </c>
      <c r="P2873" t="s">
        <v>132</v>
      </c>
    </row>
    <row r="2874" spans="1:16" x14ac:dyDescent="0.3">
      <c r="A2874" t="s">
        <v>25</v>
      </c>
      <c r="B2874" s="1">
        <v>45582.318101851852</v>
      </c>
      <c r="C2874" t="str">
        <f t="shared" si="544"/>
        <v>41</v>
      </c>
      <c r="D2874" t="s">
        <v>120</v>
      </c>
      <c r="E2874" t="s">
        <v>116</v>
      </c>
      <c r="F2874" t="s">
        <v>117</v>
      </c>
      <c r="H2874" t="s">
        <v>745</v>
      </c>
      <c r="I2874" t="str">
        <f>"101620000471210"</f>
        <v>101620000471210</v>
      </c>
      <c r="J2874" t="str">
        <f t="shared" si="545"/>
        <v>514867</v>
      </c>
      <c r="K2874" t="s">
        <v>16</v>
      </c>
      <c r="L2874">
        <v>49</v>
      </c>
      <c r="M2874">
        <v>49</v>
      </c>
      <c r="N2874">
        <v>0</v>
      </c>
      <c r="O2874" s="1">
        <v>45582.318101851852</v>
      </c>
      <c r="P2874" t="s">
        <v>132</v>
      </c>
    </row>
    <row r="2875" spans="1:16" x14ac:dyDescent="0.3">
      <c r="A2875" t="s">
        <v>25</v>
      </c>
      <c r="B2875" s="1">
        <v>45582.318101851852</v>
      </c>
      <c r="C2875" t="str">
        <f t="shared" si="544"/>
        <v>41</v>
      </c>
      <c r="D2875" t="s">
        <v>120</v>
      </c>
      <c r="E2875" t="s">
        <v>116</v>
      </c>
      <c r="F2875" t="s">
        <v>117</v>
      </c>
      <c r="H2875" t="s">
        <v>745</v>
      </c>
      <c r="I2875" t="str">
        <f>"101620000468098"</f>
        <v>101620000468098</v>
      </c>
      <c r="J2875" t="str">
        <f t="shared" si="545"/>
        <v>514867</v>
      </c>
      <c r="K2875" t="s">
        <v>16</v>
      </c>
      <c r="L2875">
        <v>49</v>
      </c>
      <c r="M2875">
        <v>49</v>
      </c>
      <c r="N2875">
        <v>0</v>
      </c>
      <c r="O2875" s="1">
        <v>45582.318101851852</v>
      </c>
      <c r="P2875" t="s">
        <v>132</v>
      </c>
    </row>
    <row r="2876" spans="1:16" x14ac:dyDescent="0.3">
      <c r="A2876" t="s">
        <v>25</v>
      </c>
      <c r="B2876" s="1">
        <v>45582.318101851852</v>
      </c>
      <c r="C2876" t="str">
        <f t="shared" si="544"/>
        <v>41</v>
      </c>
      <c r="D2876" t="s">
        <v>120</v>
      </c>
      <c r="E2876" t="s">
        <v>116</v>
      </c>
      <c r="F2876" t="s">
        <v>117</v>
      </c>
      <c r="H2876" t="s">
        <v>745</v>
      </c>
      <c r="I2876" t="str">
        <f>"101620000466885"</f>
        <v>101620000466885</v>
      </c>
      <c r="J2876" t="str">
        <f t="shared" si="545"/>
        <v>514867</v>
      </c>
      <c r="K2876" t="s">
        <v>16</v>
      </c>
      <c r="L2876">
        <v>49</v>
      </c>
      <c r="M2876">
        <v>49</v>
      </c>
      <c r="N2876">
        <v>0</v>
      </c>
      <c r="O2876" s="1">
        <v>45582.318101851852</v>
      </c>
      <c r="P2876" t="s">
        <v>132</v>
      </c>
    </row>
    <row r="2877" spans="1:16" x14ac:dyDescent="0.3">
      <c r="A2877" t="s">
        <v>25</v>
      </c>
      <c r="B2877" s="1">
        <v>45582.318090277775</v>
      </c>
      <c r="C2877" t="str">
        <f t="shared" si="544"/>
        <v>41</v>
      </c>
      <c r="D2877" t="s">
        <v>120</v>
      </c>
      <c r="E2877" t="s">
        <v>116</v>
      </c>
      <c r="F2877" t="s">
        <v>117</v>
      </c>
      <c r="H2877" t="s">
        <v>745</v>
      </c>
      <c r="I2877" t="str">
        <f>"101620000468099"</f>
        <v>101620000468099</v>
      </c>
      <c r="J2877" t="str">
        <f t="shared" si="545"/>
        <v>514867</v>
      </c>
      <c r="K2877" t="s">
        <v>16</v>
      </c>
      <c r="L2877">
        <v>49</v>
      </c>
      <c r="M2877">
        <v>49</v>
      </c>
      <c r="N2877">
        <v>0</v>
      </c>
      <c r="O2877" s="1">
        <v>45582.318090277775</v>
      </c>
      <c r="P2877" t="s">
        <v>132</v>
      </c>
    </row>
    <row r="2878" spans="1:16" x14ac:dyDescent="0.3">
      <c r="A2878" t="s">
        <v>25</v>
      </c>
      <c r="B2878" s="1">
        <v>45582.318090277775</v>
      </c>
      <c r="C2878" t="str">
        <f t="shared" si="544"/>
        <v>41</v>
      </c>
      <c r="D2878" t="s">
        <v>120</v>
      </c>
      <c r="E2878" t="s">
        <v>116</v>
      </c>
      <c r="F2878" t="s">
        <v>117</v>
      </c>
      <c r="H2878" t="s">
        <v>745</v>
      </c>
      <c r="I2878" t="str">
        <f>"101620000468100"</f>
        <v>101620000468100</v>
      </c>
      <c r="J2878" t="str">
        <f t="shared" si="545"/>
        <v>514867</v>
      </c>
      <c r="K2878" t="s">
        <v>16</v>
      </c>
      <c r="L2878">
        <v>49</v>
      </c>
      <c r="M2878">
        <v>49</v>
      </c>
      <c r="N2878">
        <v>0</v>
      </c>
      <c r="O2878" s="1">
        <v>45582.318090277775</v>
      </c>
      <c r="P2878" t="s">
        <v>132</v>
      </c>
    </row>
    <row r="2879" spans="1:16" x14ac:dyDescent="0.3">
      <c r="A2879" t="s">
        <v>25</v>
      </c>
      <c r="B2879" s="1">
        <v>45582.317974537036</v>
      </c>
      <c r="C2879" t="str">
        <f>"38"</f>
        <v>38</v>
      </c>
      <c r="D2879" t="s">
        <v>115</v>
      </c>
      <c r="E2879" t="s">
        <v>116</v>
      </c>
      <c r="F2879" t="s">
        <v>117</v>
      </c>
      <c r="H2879" t="s">
        <v>746</v>
      </c>
      <c r="L2879">
        <v>0</v>
      </c>
      <c r="M2879">
        <v>0</v>
      </c>
      <c r="N2879">
        <v>0</v>
      </c>
      <c r="O2879" s="1">
        <v>45582.317974537036</v>
      </c>
      <c r="P2879" t="s">
        <v>125</v>
      </c>
    </row>
    <row r="2880" spans="1:16" x14ac:dyDescent="0.3">
      <c r="A2880" t="s">
        <v>25</v>
      </c>
      <c r="B2880" s="1">
        <v>45582.317974537036</v>
      </c>
      <c r="C2880" t="str">
        <f t="shared" ref="C2880:C2886" si="546">"41"</f>
        <v>41</v>
      </c>
      <c r="D2880" t="s">
        <v>120</v>
      </c>
      <c r="E2880" t="s">
        <v>116</v>
      </c>
      <c r="F2880" t="s">
        <v>117</v>
      </c>
      <c r="H2880" t="s">
        <v>746</v>
      </c>
      <c r="I2880" t="str">
        <f>"101050002024534"</f>
        <v>101050002024534</v>
      </c>
      <c r="J2880" t="str">
        <f t="shared" ref="J2880:J2886" si="547">"514719"</f>
        <v>514719</v>
      </c>
      <c r="K2880" t="s">
        <v>0</v>
      </c>
      <c r="L2880">
        <v>49</v>
      </c>
      <c r="M2880">
        <v>49</v>
      </c>
      <c r="N2880">
        <v>0</v>
      </c>
      <c r="O2880" s="1">
        <v>45582.317974537036</v>
      </c>
      <c r="P2880" t="s">
        <v>125</v>
      </c>
    </row>
    <row r="2881" spans="1:16" x14ac:dyDescent="0.3">
      <c r="A2881" t="s">
        <v>25</v>
      </c>
      <c r="B2881" s="1">
        <v>45582.317974537036</v>
      </c>
      <c r="C2881" t="str">
        <f t="shared" si="546"/>
        <v>41</v>
      </c>
      <c r="D2881" t="s">
        <v>120</v>
      </c>
      <c r="E2881" t="s">
        <v>116</v>
      </c>
      <c r="F2881" t="s">
        <v>117</v>
      </c>
      <c r="H2881" t="s">
        <v>746</v>
      </c>
      <c r="I2881" t="str">
        <f>"101050002024538"</f>
        <v>101050002024538</v>
      </c>
      <c r="J2881" t="str">
        <f t="shared" si="547"/>
        <v>514719</v>
      </c>
      <c r="K2881" t="s">
        <v>0</v>
      </c>
      <c r="L2881">
        <v>49</v>
      </c>
      <c r="M2881">
        <v>49</v>
      </c>
      <c r="N2881">
        <v>0</v>
      </c>
      <c r="O2881" s="1">
        <v>45582.317974537036</v>
      </c>
      <c r="P2881" t="s">
        <v>125</v>
      </c>
    </row>
    <row r="2882" spans="1:16" x14ac:dyDescent="0.3">
      <c r="A2882" t="s">
        <v>25</v>
      </c>
      <c r="B2882" s="1">
        <v>45582.317974537036</v>
      </c>
      <c r="C2882" t="str">
        <f t="shared" si="546"/>
        <v>41</v>
      </c>
      <c r="D2882" t="s">
        <v>120</v>
      </c>
      <c r="E2882" t="s">
        <v>116</v>
      </c>
      <c r="F2882" t="s">
        <v>117</v>
      </c>
      <c r="H2882" t="s">
        <v>746</v>
      </c>
      <c r="I2882" t="str">
        <f>"101050002020359"</f>
        <v>101050002020359</v>
      </c>
      <c r="J2882" t="str">
        <f t="shared" si="547"/>
        <v>514719</v>
      </c>
      <c r="K2882" t="s">
        <v>0</v>
      </c>
      <c r="L2882">
        <v>49</v>
      </c>
      <c r="M2882">
        <v>49</v>
      </c>
      <c r="N2882">
        <v>0</v>
      </c>
      <c r="O2882" s="1">
        <v>45582.317974537036</v>
      </c>
      <c r="P2882" t="s">
        <v>125</v>
      </c>
    </row>
    <row r="2883" spans="1:16" x14ac:dyDescent="0.3">
      <c r="A2883" t="s">
        <v>25</v>
      </c>
      <c r="B2883" s="1">
        <v>45582.317974537036</v>
      </c>
      <c r="C2883" t="str">
        <f t="shared" si="546"/>
        <v>41</v>
      </c>
      <c r="D2883" t="s">
        <v>120</v>
      </c>
      <c r="E2883" t="s">
        <v>116</v>
      </c>
      <c r="F2883" t="s">
        <v>117</v>
      </c>
      <c r="H2883" t="s">
        <v>746</v>
      </c>
      <c r="I2883" t="str">
        <f>"101050002020360"</f>
        <v>101050002020360</v>
      </c>
      <c r="J2883" t="str">
        <f t="shared" si="547"/>
        <v>514719</v>
      </c>
      <c r="K2883" t="s">
        <v>0</v>
      </c>
      <c r="L2883">
        <v>49</v>
      </c>
      <c r="M2883">
        <v>49</v>
      </c>
      <c r="N2883">
        <v>0</v>
      </c>
      <c r="O2883" s="1">
        <v>45582.317974537036</v>
      </c>
      <c r="P2883" t="s">
        <v>125</v>
      </c>
    </row>
    <row r="2884" spans="1:16" x14ac:dyDescent="0.3">
      <c r="A2884" t="s">
        <v>25</v>
      </c>
      <c r="B2884" s="1">
        <v>45582.317974537036</v>
      </c>
      <c r="C2884" t="str">
        <f t="shared" si="546"/>
        <v>41</v>
      </c>
      <c r="D2884" t="s">
        <v>120</v>
      </c>
      <c r="E2884" t="s">
        <v>116</v>
      </c>
      <c r="F2884" t="s">
        <v>117</v>
      </c>
      <c r="H2884" t="s">
        <v>746</v>
      </c>
      <c r="I2884" t="str">
        <f>"101050002020358"</f>
        <v>101050002020358</v>
      </c>
      <c r="J2884" t="str">
        <f t="shared" si="547"/>
        <v>514719</v>
      </c>
      <c r="K2884" t="s">
        <v>0</v>
      </c>
      <c r="L2884">
        <v>49</v>
      </c>
      <c r="M2884">
        <v>49</v>
      </c>
      <c r="N2884">
        <v>0</v>
      </c>
      <c r="O2884" s="1">
        <v>45582.317974537036</v>
      </c>
      <c r="P2884" t="s">
        <v>125</v>
      </c>
    </row>
    <row r="2885" spans="1:16" x14ac:dyDescent="0.3">
      <c r="A2885" t="s">
        <v>25</v>
      </c>
      <c r="B2885" s="1">
        <v>45582.317974537036</v>
      </c>
      <c r="C2885" t="str">
        <f t="shared" si="546"/>
        <v>41</v>
      </c>
      <c r="D2885" t="s">
        <v>120</v>
      </c>
      <c r="E2885" t="s">
        <v>116</v>
      </c>
      <c r="F2885" t="s">
        <v>117</v>
      </c>
      <c r="H2885" t="s">
        <v>746</v>
      </c>
      <c r="I2885" t="str">
        <f>"101050002020356"</f>
        <v>101050002020356</v>
      </c>
      <c r="J2885" t="str">
        <f t="shared" si="547"/>
        <v>514719</v>
      </c>
      <c r="K2885" t="s">
        <v>0</v>
      </c>
      <c r="L2885">
        <v>49</v>
      </c>
      <c r="M2885">
        <v>49</v>
      </c>
      <c r="N2885">
        <v>0</v>
      </c>
      <c r="O2885" s="1">
        <v>45582.317974537036</v>
      </c>
      <c r="P2885" t="s">
        <v>125</v>
      </c>
    </row>
    <row r="2886" spans="1:16" x14ac:dyDescent="0.3">
      <c r="A2886" t="s">
        <v>25</v>
      </c>
      <c r="B2886" s="1">
        <v>45582.317974537036</v>
      </c>
      <c r="C2886" t="str">
        <f t="shared" si="546"/>
        <v>41</v>
      </c>
      <c r="D2886" t="s">
        <v>120</v>
      </c>
      <c r="E2886" t="s">
        <v>116</v>
      </c>
      <c r="F2886" t="s">
        <v>117</v>
      </c>
      <c r="H2886" t="s">
        <v>746</v>
      </c>
      <c r="I2886" t="str">
        <f>"101050002020299"</f>
        <v>101050002020299</v>
      </c>
      <c r="J2886" t="str">
        <f t="shared" si="547"/>
        <v>514719</v>
      </c>
      <c r="K2886" t="s">
        <v>0</v>
      </c>
      <c r="L2886">
        <v>49</v>
      </c>
      <c r="M2886">
        <v>49</v>
      </c>
      <c r="N2886">
        <v>0</v>
      </c>
      <c r="O2886" s="1">
        <v>45582.317974537036</v>
      </c>
      <c r="P2886" t="s">
        <v>125</v>
      </c>
    </row>
    <row r="2887" spans="1:16" x14ac:dyDescent="0.3">
      <c r="A2887" t="s">
        <v>25</v>
      </c>
      <c r="B2887" s="1">
        <v>45582.317858796298</v>
      </c>
      <c r="C2887" t="str">
        <f>"38"</f>
        <v>38</v>
      </c>
      <c r="D2887" t="s">
        <v>115</v>
      </c>
      <c r="E2887" t="s">
        <v>116</v>
      </c>
      <c r="F2887" t="s">
        <v>117</v>
      </c>
      <c r="H2887" t="s">
        <v>747</v>
      </c>
      <c r="L2887">
        <v>0</v>
      </c>
      <c r="M2887">
        <v>0</v>
      </c>
      <c r="N2887">
        <v>0</v>
      </c>
      <c r="O2887" s="1">
        <v>45582.317858796298</v>
      </c>
      <c r="P2887" t="s">
        <v>138</v>
      </c>
    </row>
    <row r="2888" spans="1:16" x14ac:dyDescent="0.3">
      <c r="A2888" t="s">
        <v>25</v>
      </c>
      <c r="B2888" s="1">
        <v>45582.317858796298</v>
      </c>
      <c r="C2888" t="str">
        <f t="shared" ref="C2888:C2894" si="548">"41"</f>
        <v>41</v>
      </c>
      <c r="D2888" t="s">
        <v>120</v>
      </c>
      <c r="E2888" t="s">
        <v>116</v>
      </c>
      <c r="F2888" t="s">
        <v>117</v>
      </c>
      <c r="H2888" t="s">
        <v>747</v>
      </c>
      <c r="I2888" t="str">
        <f>"101050002004704"</f>
        <v>101050002004704</v>
      </c>
      <c r="J2888" t="str">
        <f t="shared" ref="J2888:J2894" si="549">"514480"</f>
        <v>514480</v>
      </c>
      <c r="K2888" t="s">
        <v>83</v>
      </c>
      <c r="L2888">
        <v>49</v>
      </c>
      <c r="M2888">
        <v>49</v>
      </c>
      <c r="N2888">
        <v>0</v>
      </c>
      <c r="O2888" s="1">
        <v>45582.317858796298</v>
      </c>
      <c r="P2888" t="s">
        <v>138</v>
      </c>
    </row>
    <row r="2889" spans="1:16" x14ac:dyDescent="0.3">
      <c r="A2889" t="s">
        <v>25</v>
      </c>
      <c r="B2889" s="1">
        <v>45582.317858796298</v>
      </c>
      <c r="C2889" t="str">
        <f t="shared" si="548"/>
        <v>41</v>
      </c>
      <c r="D2889" t="s">
        <v>120</v>
      </c>
      <c r="E2889" t="s">
        <v>116</v>
      </c>
      <c r="F2889" t="s">
        <v>117</v>
      </c>
      <c r="H2889" t="s">
        <v>747</v>
      </c>
      <c r="I2889" t="str">
        <f>"101050002004991"</f>
        <v>101050002004991</v>
      </c>
      <c r="J2889" t="str">
        <f t="shared" si="549"/>
        <v>514480</v>
      </c>
      <c r="K2889" t="s">
        <v>83</v>
      </c>
      <c r="L2889">
        <v>49</v>
      </c>
      <c r="M2889">
        <v>49</v>
      </c>
      <c r="N2889">
        <v>0</v>
      </c>
      <c r="O2889" s="1">
        <v>45582.317858796298</v>
      </c>
      <c r="P2889" t="s">
        <v>138</v>
      </c>
    </row>
    <row r="2890" spans="1:16" x14ac:dyDescent="0.3">
      <c r="A2890" t="s">
        <v>25</v>
      </c>
      <c r="B2890" s="1">
        <v>45582.317858796298</v>
      </c>
      <c r="C2890" t="str">
        <f t="shared" si="548"/>
        <v>41</v>
      </c>
      <c r="D2890" t="s">
        <v>120</v>
      </c>
      <c r="E2890" t="s">
        <v>116</v>
      </c>
      <c r="F2890" t="s">
        <v>117</v>
      </c>
      <c r="H2890" t="s">
        <v>747</v>
      </c>
      <c r="I2890" t="str">
        <f>"101050002004699"</f>
        <v>101050002004699</v>
      </c>
      <c r="J2890" t="str">
        <f t="shared" si="549"/>
        <v>514480</v>
      </c>
      <c r="K2890" t="s">
        <v>83</v>
      </c>
      <c r="L2890">
        <v>49</v>
      </c>
      <c r="M2890">
        <v>49</v>
      </c>
      <c r="N2890">
        <v>0</v>
      </c>
      <c r="O2890" s="1">
        <v>45582.317858796298</v>
      </c>
      <c r="P2890" t="s">
        <v>138</v>
      </c>
    </row>
    <row r="2891" spans="1:16" x14ac:dyDescent="0.3">
      <c r="A2891" t="s">
        <v>25</v>
      </c>
      <c r="B2891" s="1">
        <v>45582.317847222221</v>
      </c>
      <c r="C2891" t="str">
        <f t="shared" si="548"/>
        <v>41</v>
      </c>
      <c r="D2891" t="s">
        <v>120</v>
      </c>
      <c r="E2891" t="s">
        <v>116</v>
      </c>
      <c r="F2891" t="s">
        <v>117</v>
      </c>
      <c r="H2891" t="s">
        <v>747</v>
      </c>
      <c r="I2891" t="str">
        <f>"101050002004814"</f>
        <v>101050002004814</v>
      </c>
      <c r="J2891" t="str">
        <f t="shared" si="549"/>
        <v>514480</v>
      </c>
      <c r="K2891" t="s">
        <v>83</v>
      </c>
      <c r="L2891">
        <v>49</v>
      </c>
      <c r="M2891">
        <v>49</v>
      </c>
      <c r="N2891">
        <v>0</v>
      </c>
      <c r="O2891" s="1">
        <v>45582.317847222221</v>
      </c>
      <c r="P2891" t="s">
        <v>138</v>
      </c>
    </row>
    <row r="2892" spans="1:16" x14ac:dyDescent="0.3">
      <c r="A2892" t="s">
        <v>25</v>
      </c>
      <c r="B2892" s="1">
        <v>45582.317847222221</v>
      </c>
      <c r="C2892" t="str">
        <f t="shared" si="548"/>
        <v>41</v>
      </c>
      <c r="D2892" t="s">
        <v>120</v>
      </c>
      <c r="E2892" t="s">
        <v>116</v>
      </c>
      <c r="F2892" t="s">
        <v>117</v>
      </c>
      <c r="H2892" t="s">
        <v>747</v>
      </c>
      <c r="I2892" t="str">
        <f>"101050002004497"</f>
        <v>101050002004497</v>
      </c>
      <c r="J2892" t="str">
        <f t="shared" si="549"/>
        <v>514480</v>
      </c>
      <c r="K2892" t="s">
        <v>83</v>
      </c>
      <c r="L2892">
        <v>49</v>
      </c>
      <c r="M2892">
        <v>49</v>
      </c>
      <c r="N2892">
        <v>0</v>
      </c>
      <c r="O2892" s="1">
        <v>45582.317847222221</v>
      </c>
      <c r="P2892" t="s">
        <v>138</v>
      </c>
    </row>
    <row r="2893" spans="1:16" x14ac:dyDescent="0.3">
      <c r="A2893" t="s">
        <v>25</v>
      </c>
      <c r="B2893" s="1">
        <v>45582.317847222221</v>
      </c>
      <c r="C2893" t="str">
        <f t="shared" si="548"/>
        <v>41</v>
      </c>
      <c r="D2893" t="s">
        <v>120</v>
      </c>
      <c r="E2893" t="s">
        <v>116</v>
      </c>
      <c r="F2893" t="s">
        <v>117</v>
      </c>
      <c r="H2893" t="s">
        <v>747</v>
      </c>
      <c r="I2893" t="str">
        <f>"101050002004990"</f>
        <v>101050002004990</v>
      </c>
      <c r="J2893" t="str">
        <f t="shared" si="549"/>
        <v>514480</v>
      </c>
      <c r="K2893" t="s">
        <v>83</v>
      </c>
      <c r="L2893">
        <v>49</v>
      </c>
      <c r="M2893">
        <v>49</v>
      </c>
      <c r="N2893">
        <v>0</v>
      </c>
      <c r="O2893" s="1">
        <v>45582.317847222221</v>
      </c>
      <c r="P2893" t="s">
        <v>138</v>
      </c>
    </row>
    <row r="2894" spans="1:16" x14ac:dyDescent="0.3">
      <c r="A2894" t="s">
        <v>25</v>
      </c>
      <c r="B2894" s="1">
        <v>45582.317847222221</v>
      </c>
      <c r="C2894" t="str">
        <f t="shared" si="548"/>
        <v>41</v>
      </c>
      <c r="D2894" t="s">
        <v>120</v>
      </c>
      <c r="E2894" t="s">
        <v>116</v>
      </c>
      <c r="F2894" t="s">
        <v>117</v>
      </c>
      <c r="H2894" t="s">
        <v>747</v>
      </c>
      <c r="I2894" t="str">
        <f>"101050001982890"</f>
        <v>101050001982890</v>
      </c>
      <c r="J2894" t="str">
        <f t="shared" si="549"/>
        <v>514480</v>
      </c>
      <c r="K2894" t="s">
        <v>83</v>
      </c>
      <c r="L2894">
        <v>49</v>
      </c>
      <c r="M2894">
        <v>49</v>
      </c>
      <c r="N2894">
        <v>0</v>
      </c>
      <c r="O2894" s="1">
        <v>45582.317847222221</v>
      </c>
      <c r="P2894" t="s">
        <v>138</v>
      </c>
    </row>
    <row r="2895" spans="1:16" x14ac:dyDescent="0.3">
      <c r="A2895" t="s">
        <v>25</v>
      </c>
      <c r="B2895" s="1">
        <v>45582.31763888889</v>
      </c>
      <c r="C2895" t="str">
        <f>"38"</f>
        <v>38</v>
      </c>
      <c r="D2895" t="s">
        <v>115</v>
      </c>
      <c r="E2895" t="s">
        <v>116</v>
      </c>
      <c r="F2895" t="s">
        <v>117</v>
      </c>
      <c r="H2895" t="s">
        <v>748</v>
      </c>
      <c r="L2895">
        <v>0</v>
      </c>
      <c r="M2895">
        <v>0</v>
      </c>
      <c r="N2895">
        <v>0</v>
      </c>
      <c r="O2895" s="1">
        <v>45582.31763888889</v>
      </c>
      <c r="P2895" t="s">
        <v>132</v>
      </c>
    </row>
    <row r="2896" spans="1:16" x14ac:dyDescent="0.3">
      <c r="A2896" t="s">
        <v>25</v>
      </c>
      <c r="B2896" s="1">
        <v>45582.31763888889</v>
      </c>
      <c r="C2896" t="str">
        <f t="shared" ref="C2896:C2902" si="550">"41"</f>
        <v>41</v>
      </c>
      <c r="D2896" t="s">
        <v>120</v>
      </c>
      <c r="E2896" t="s">
        <v>116</v>
      </c>
      <c r="F2896" t="s">
        <v>117</v>
      </c>
      <c r="H2896" t="s">
        <v>748</v>
      </c>
      <c r="I2896" t="str">
        <f>"101050001975199"</f>
        <v>101050001975199</v>
      </c>
      <c r="J2896" t="str">
        <f t="shared" ref="J2896:J2902" si="551">"514475"</f>
        <v>514475</v>
      </c>
      <c r="K2896" t="s">
        <v>23</v>
      </c>
      <c r="L2896">
        <v>49</v>
      </c>
      <c r="M2896">
        <v>49</v>
      </c>
      <c r="N2896">
        <v>0</v>
      </c>
      <c r="O2896" s="1">
        <v>45582.31763888889</v>
      </c>
      <c r="P2896" t="s">
        <v>132</v>
      </c>
    </row>
    <row r="2897" spans="1:16" x14ac:dyDescent="0.3">
      <c r="A2897" t="s">
        <v>25</v>
      </c>
      <c r="B2897" s="1">
        <v>45582.317627314813</v>
      </c>
      <c r="C2897" t="str">
        <f t="shared" si="550"/>
        <v>41</v>
      </c>
      <c r="D2897" t="s">
        <v>120</v>
      </c>
      <c r="E2897" t="s">
        <v>116</v>
      </c>
      <c r="F2897" t="s">
        <v>117</v>
      </c>
      <c r="H2897" t="s">
        <v>748</v>
      </c>
      <c r="I2897" t="str">
        <f>"101050001974852"</f>
        <v>101050001974852</v>
      </c>
      <c r="J2897" t="str">
        <f t="shared" si="551"/>
        <v>514475</v>
      </c>
      <c r="K2897" t="s">
        <v>23</v>
      </c>
      <c r="L2897">
        <v>49</v>
      </c>
      <c r="M2897">
        <v>49</v>
      </c>
      <c r="N2897">
        <v>0</v>
      </c>
      <c r="O2897" s="1">
        <v>45582.317627314813</v>
      </c>
      <c r="P2897" t="s">
        <v>132</v>
      </c>
    </row>
    <row r="2898" spans="1:16" x14ac:dyDescent="0.3">
      <c r="A2898" t="s">
        <v>25</v>
      </c>
      <c r="B2898" s="1">
        <v>45582.317627314813</v>
      </c>
      <c r="C2898" t="str">
        <f t="shared" si="550"/>
        <v>41</v>
      </c>
      <c r="D2898" t="s">
        <v>120</v>
      </c>
      <c r="E2898" t="s">
        <v>116</v>
      </c>
      <c r="F2898" t="s">
        <v>117</v>
      </c>
      <c r="H2898" t="s">
        <v>748</v>
      </c>
      <c r="I2898" t="str">
        <f>"101050001974738"</f>
        <v>101050001974738</v>
      </c>
      <c r="J2898" t="str">
        <f t="shared" si="551"/>
        <v>514475</v>
      </c>
      <c r="K2898" t="s">
        <v>23</v>
      </c>
      <c r="L2898">
        <v>49</v>
      </c>
      <c r="M2898">
        <v>49</v>
      </c>
      <c r="N2898">
        <v>0</v>
      </c>
      <c r="O2898" s="1">
        <v>45582.317627314813</v>
      </c>
      <c r="P2898" t="s">
        <v>132</v>
      </c>
    </row>
    <row r="2899" spans="1:16" x14ac:dyDescent="0.3">
      <c r="A2899" t="s">
        <v>25</v>
      </c>
      <c r="B2899" s="1">
        <v>45582.317627314813</v>
      </c>
      <c r="C2899" t="str">
        <f t="shared" si="550"/>
        <v>41</v>
      </c>
      <c r="D2899" t="s">
        <v>120</v>
      </c>
      <c r="E2899" t="s">
        <v>116</v>
      </c>
      <c r="F2899" t="s">
        <v>117</v>
      </c>
      <c r="H2899" t="s">
        <v>748</v>
      </c>
      <c r="I2899" t="str">
        <f>"101050001974739"</f>
        <v>101050001974739</v>
      </c>
      <c r="J2899" t="str">
        <f t="shared" si="551"/>
        <v>514475</v>
      </c>
      <c r="K2899" t="s">
        <v>23</v>
      </c>
      <c r="L2899">
        <v>49</v>
      </c>
      <c r="M2899">
        <v>49</v>
      </c>
      <c r="N2899">
        <v>0</v>
      </c>
      <c r="O2899" s="1">
        <v>45582.317627314813</v>
      </c>
      <c r="P2899" t="s">
        <v>132</v>
      </c>
    </row>
    <row r="2900" spans="1:16" x14ac:dyDescent="0.3">
      <c r="A2900" t="s">
        <v>25</v>
      </c>
      <c r="B2900" s="1">
        <v>45582.317627314813</v>
      </c>
      <c r="C2900" t="str">
        <f t="shared" si="550"/>
        <v>41</v>
      </c>
      <c r="D2900" t="s">
        <v>120</v>
      </c>
      <c r="E2900" t="s">
        <v>116</v>
      </c>
      <c r="F2900" t="s">
        <v>117</v>
      </c>
      <c r="H2900" t="s">
        <v>748</v>
      </c>
      <c r="I2900" t="str">
        <f>"101050001974850"</f>
        <v>101050001974850</v>
      </c>
      <c r="J2900" t="str">
        <f t="shared" si="551"/>
        <v>514475</v>
      </c>
      <c r="K2900" t="s">
        <v>23</v>
      </c>
      <c r="L2900">
        <v>49</v>
      </c>
      <c r="M2900">
        <v>49</v>
      </c>
      <c r="N2900">
        <v>0</v>
      </c>
      <c r="O2900" s="1">
        <v>45582.317627314813</v>
      </c>
      <c r="P2900" t="s">
        <v>132</v>
      </c>
    </row>
    <row r="2901" spans="1:16" x14ac:dyDescent="0.3">
      <c r="A2901" t="s">
        <v>25</v>
      </c>
      <c r="B2901" s="1">
        <v>45582.317627314813</v>
      </c>
      <c r="C2901" t="str">
        <f t="shared" si="550"/>
        <v>41</v>
      </c>
      <c r="D2901" t="s">
        <v>120</v>
      </c>
      <c r="E2901" t="s">
        <v>116</v>
      </c>
      <c r="F2901" t="s">
        <v>117</v>
      </c>
      <c r="H2901" t="s">
        <v>748</v>
      </c>
      <c r="I2901" t="str">
        <f>"101050001974737"</f>
        <v>101050001974737</v>
      </c>
      <c r="J2901" t="str">
        <f t="shared" si="551"/>
        <v>514475</v>
      </c>
      <c r="K2901" t="s">
        <v>23</v>
      </c>
      <c r="L2901">
        <v>49</v>
      </c>
      <c r="M2901">
        <v>49</v>
      </c>
      <c r="N2901">
        <v>0</v>
      </c>
      <c r="O2901" s="1">
        <v>45582.317627314813</v>
      </c>
      <c r="P2901" t="s">
        <v>132</v>
      </c>
    </row>
    <row r="2902" spans="1:16" x14ac:dyDescent="0.3">
      <c r="A2902" t="s">
        <v>25</v>
      </c>
      <c r="B2902" s="1">
        <v>45582.317627314813</v>
      </c>
      <c r="C2902" t="str">
        <f t="shared" si="550"/>
        <v>41</v>
      </c>
      <c r="D2902" t="s">
        <v>120</v>
      </c>
      <c r="E2902" t="s">
        <v>116</v>
      </c>
      <c r="F2902" t="s">
        <v>117</v>
      </c>
      <c r="H2902" t="s">
        <v>748</v>
      </c>
      <c r="I2902" t="str">
        <f>"101050001975201"</f>
        <v>101050001975201</v>
      </c>
      <c r="J2902" t="str">
        <f t="shared" si="551"/>
        <v>514475</v>
      </c>
      <c r="K2902" t="s">
        <v>23</v>
      </c>
      <c r="L2902">
        <v>49</v>
      </c>
      <c r="M2902">
        <v>49</v>
      </c>
      <c r="N2902">
        <v>0</v>
      </c>
      <c r="O2902" s="1">
        <v>45582.317627314813</v>
      </c>
      <c r="P2902" t="s">
        <v>132</v>
      </c>
    </row>
    <row r="2903" spans="1:16" x14ac:dyDescent="0.3">
      <c r="A2903" t="s">
        <v>25</v>
      </c>
      <c r="B2903" s="1">
        <v>45582.317164351851</v>
      </c>
      <c r="C2903" t="str">
        <f>"38"</f>
        <v>38</v>
      </c>
      <c r="D2903" t="s">
        <v>115</v>
      </c>
      <c r="E2903" t="s">
        <v>116</v>
      </c>
      <c r="F2903" t="s">
        <v>117</v>
      </c>
      <c r="H2903" t="s">
        <v>749</v>
      </c>
      <c r="L2903">
        <v>0</v>
      </c>
      <c r="M2903">
        <v>0</v>
      </c>
      <c r="N2903">
        <v>0</v>
      </c>
      <c r="O2903" s="1">
        <v>45582.317164351851</v>
      </c>
      <c r="P2903" t="s">
        <v>132</v>
      </c>
    </row>
    <row r="2904" spans="1:16" x14ac:dyDescent="0.3">
      <c r="A2904" t="s">
        <v>25</v>
      </c>
      <c r="B2904" s="1">
        <v>45582.317164351851</v>
      </c>
      <c r="C2904" t="str">
        <f>"41"</f>
        <v>41</v>
      </c>
      <c r="D2904" t="s">
        <v>120</v>
      </c>
      <c r="E2904" t="s">
        <v>116</v>
      </c>
      <c r="F2904" t="s">
        <v>117</v>
      </c>
      <c r="H2904" t="s">
        <v>749</v>
      </c>
      <c r="I2904" t="str">
        <f>"101570001111826"</f>
        <v>101570001111826</v>
      </c>
      <c r="J2904" t="str">
        <f>"48205"</f>
        <v>48205</v>
      </c>
      <c r="K2904" t="s">
        <v>20</v>
      </c>
      <c r="L2904">
        <v>49</v>
      </c>
      <c r="M2904">
        <v>49</v>
      </c>
      <c r="N2904">
        <v>0</v>
      </c>
      <c r="O2904" s="1">
        <v>45582.317164351851</v>
      </c>
      <c r="P2904" t="s">
        <v>132</v>
      </c>
    </row>
    <row r="2905" spans="1:16" x14ac:dyDescent="0.3">
      <c r="A2905" t="s">
        <v>25</v>
      </c>
      <c r="B2905" s="1">
        <v>45582.317094907405</v>
      </c>
      <c r="C2905" t="str">
        <f>"38"</f>
        <v>38</v>
      </c>
      <c r="D2905" t="s">
        <v>115</v>
      </c>
      <c r="E2905" t="s">
        <v>116</v>
      </c>
      <c r="F2905" t="s">
        <v>117</v>
      </c>
      <c r="H2905" t="s">
        <v>750</v>
      </c>
      <c r="L2905">
        <v>0</v>
      </c>
      <c r="M2905">
        <v>0</v>
      </c>
      <c r="N2905">
        <v>0</v>
      </c>
      <c r="O2905" s="1">
        <v>45582.317094907405</v>
      </c>
      <c r="P2905" t="s">
        <v>392</v>
      </c>
    </row>
    <row r="2906" spans="1:16" x14ac:dyDescent="0.3">
      <c r="A2906" t="s">
        <v>25</v>
      </c>
      <c r="B2906" s="1">
        <v>45582.317094907405</v>
      </c>
      <c r="C2906" t="str">
        <f t="shared" ref="C2906:C2912" si="552">"41"</f>
        <v>41</v>
      </c>
      <c r="D2906" t="s">
        <v>120</v>
      </c>
      <c r="E2906" t="s">
        <v>116</v>
      </c>
      <c r="F2906" t="s">
        <v>117</v>
      </c>
      <c r="H2906" t="s">
        <v>750</v>
      </c>
      <c r="I2906" t="str">
        <f>"101570001108627"</f>
        <v>101570001108627</v>
      </c>
      <c r="J2906" t="str">
        <f t="shared" ref="J2906:J2912" si="553">"48205"</f>
        <v>48205</v>
      </c>
      <c r="K2906" t="s">
        <v>20</v>
      </c>
      <c r="L2906">
        <v>49</v>
      </c>
      <c r="M2906">
        <v>49</v>
      </c>
      <c r="N2906">
        <v>0</v>
      </c>
      <c r="O2906" s="1">
        <v>45582.317094907405</v>
      </c>
      <c r="P2906" t="s">
        <v>392</v>
      </c>
    </row>
    <row r="2907" spans="1:16" x14ac:dyDescent="0.3">
      <c r="A2907" t="s">
        <v>25</v>
      </c>
      <c r="B2907" s="1">
        <v>45582.317094907405</v>
      </c>
      <c r="C2907" t="str">
        <f t="shared" si="552"/>
        <v>41</v>
      </c>
      <c r="D2907" t="s">
        <v>120</v>
      </c>
      <c r="E2907" t="s">
        <v>116</v>
      </c>
      <c r="F2907" t="s">
        <v>117</v>
      </c>
      <c r="H2907" t="s">
        <v>750</v>
      </c>
      <c r="I2907" t="str">
        <f>"101570001108625"</f>
        <v>101570001108625</v>
      </c>
      <c r="J2907" t="str">
        <f t="shared" si="553"/>
        <v>48205</v>
      </c>
      <c r="K2907" t="s">
        <v>20</v>
      </c>
      <c r="L2907">
        <v>49</v>
      </c>
      <c r="M2907">
        <v>49</v>
      </c>
      <c r="N2907">
        <v>0</v>
      </c>
      <c r="O2907" s="1">
        <v>45582.317094907405</v>
      </c>
      <c r="P2907" t="s">
        <v>392</v>
      </c>
    </row>
    <row r="2908" spans="1:16" x14ac:dyDescent="0.3">
      <c r="A2908" t="s">
        <v>25</v>
      </c>
      <c r="B2908" s="1">
        <v>45582.317094907405</v>
      </c>
      <c r="C2908" t="str">
        <f t="shared" si="552"/>
        <v>41</v>
      </c>
      <c r="D2908" t="s">
        <v>120</v>
      </c>
      <c r="E2908" t="s">
        <v>116</v>
      </c>
      <c r="F2908" t="s">
        <v>117</v>
      </c>
      <c r="H2908" t="s">
        <v>750</v>
      </c>
      <c r="I2908" t="str">
        <f>"101570001108556"</f>
        <v>101570001108556</v>
      </c>
      <c r="J2908" t="str">
        <f t="shared" si="553"/>
        <v>48205</v>
      </c>
      <c r="K2908" t="s">
        <v>20</v>
      </c>
      <c r="L2908">
        <v>49</v>
      </c>
      <c r="M2908">
        <v>49</v>
      </c>
      <c r="N2908">
        <v>0</v>
      </c>
      <c r="O2908" s="1">
        <v>45582.317094907405</v>
      </c>
      <c r="P2908" t="s">
        <v>392</v>
      </c>
    </row>
    <row r="2909" spans="1:16" x14ac:dyDescent="0.3">
      <c r="A2909" t="s">
        <v>25</v>
      </c>
      <c r="B2909" s="1">
        <v>45582.317094907405</v>
      </c>
      <c r="C2909" t="str">
        <f t="shared" si="552"/>
        <v>41</v>
      </c>
      <c r="D2909" t="s">
        <v>120</v>
      </c>
      <c r="E2909" t="s">
        <v>116</v>
      </c>
      <c r="F2909" t="s">
        <v>117</v>
      </c>
      <c r="H2909" t="s">
        <v>750</v>
      </c>
      <c r="I2909" t="str">
        <f>"101570001108624"</f>
        <v>101570001108624</v>
      </c>
      <c r="J2909" t="str">
        <f t="shared" si="553"/>
        <v>48205</v>
      </c>
      <c r="K2909" t="s">
        <v>20</v>
      </c>
      <c r="L2909">
        <v>49</v>
      </c>
      <c r="M2909">
        <v>49</v>
      </c>
      <c r="N2909">
        <v>0</v>
      </c>
      <c r="O2909" s="1">
        <v>45582.317094907405</v>
      </c>
      <c r="P2909" t="s">
        <v>392</v>
      </c>
    </row>
    <row r="2910" spans="1:16" x14ac:dyDescent="0.3">
      <c r="A2910" t="s">
        <v>25</v>
      </c>
      <c r="B2910" s="1">
        <v>45582.317094907405</v>
      </c>
      <c r="C2910" t="str">
        <f t="shared" si="552"/>
        <v>41</v>
      </c>
      <c r="D2910" t="s">
        <v>120</v>
      </c>
      <c r="E2910" t="s">
        <v>116</v>
      </c>
      <c r="F2910" t="s">
        <v>117</v>
      </c>
      <c r="H2910" t="s">
        <v>750</v>
      </c>
      <c r="I2910" t="str">
        <f>"101570001108670"</f>
        <v>101570001108670</v>
      </c>
      <c r="J2910" t="str">
        <f t="shared" si="553"/>
        <v>48205</v>
      </c>
      <c r="K2910" t="s">
        <v>20</v>
      </c>
      <c r="L2910">
        <v>49</v>
      </c>
      <c r="M2910">
        <v>49</v>
      </c>
      <c r="N2910">
        <v>0</v>
      </c>
      <c r="O2910" s="1">
        <v>45582.317094907405</v>
      </c>
      <c r="P2910" t="s">
        <v>392</v>
      </c>
    </row>
    <row r="2911" spans="1:16" x14ac:dyDescent="0.3">
      <c r="A2911" t="s">
        <v>25</v>
      </c>
      <c r="B2911" s="1">
        <v>45582.317094907405</v>
      </c>
      <c r="C2911" t="str">
        <f t="shared" si="552"/>
        <v>41</v>
      </c>
      <c r="D2911" t="s">
        <v>120</v>
      </c>
      <c r="E2911" t="s">
        <v>116</v>
      </c>
      <c r="F2911" t="s">
        <v>117</v>
      </c>
      <c r="H2911" t="s">
        <v>750</v>
      </c>
      <c r="I2911" t="str">
        <f>"101570001112323"</f>
        <v>101570001112323</v>
      </c>
      <c r="J2911" t="str">
        <f t="shared" si="553"/>
        <v>48205</v>
      </c>
      <c r="K2911" t="s">
        <v>20</v>
      </c>
      <c r="L2911">
        <v>49</v>
      </c>
      <c r="M2911">
        <v>49</v>
      </c>
      <c r="N2911">
        <v>0</v>
      </c>
      <c r="O2911" s="1">
        <v>45582.317094907405</v>
      </c>
      <c r="P2911" t="s">
        <v>392</v>
      </c>
    </row>
    <row r="2912" spans="1:16" x14ac:dyDescent="0.3">
      <c r="A2912" t="s">
        <v>25</v>
      </c>
      <c r="B2912" s="1">
        <v>45582.317083333335</v>
      </c>
      <c r="C2912" t="str">
        <f t="shared" si="552"/>
        <v>41</v>
      </c>
      <c r="D2912" t="s">
        <v>120</v>
      </c>
      <c r="E2912" t="s">
        <v>116</v>
      </c>
      <c r="F2912" t="s">
        <v>117</v>
      </c>
      <c r="H2912" t="s">
        <v>750</v>
      </c>
      <c r="I2912" t="str">
        <f>"101570001112218"</f>
        <v>101570001112218</v>
      </c>
      <c r="J2912" t="str">
        <f t="shared" si="553"/>
        <v>48205</v>
      </c>
      <c r="K2912" t="s">
        <v>20</v>
      </c>
      <c r="L2912">
        <v>49</v>
      </c>
      <c r="M2912">
        <v>49</v>
      </c>
      <c r="N2912">
        <v>0</v>
      </c>
      <c r="O2912" s="1">
        <v>45582.317083333335</v>
      </c>
      <c r="P2912" t="s">
        <v>392</v>
      </c>
    </row>
    <row r="2913" spans="1:16" x14ac:dyDescent="0.3">
      <c r="A2913" t="s">
        <v>25</v>
      </c>
      <c r="B2913" s="1">
        <v>45582.317106481481</v>
      </c>
      <c r="C2913" t="str">
        <f>"38"</f>
        <v>38</v>
      </c>
      <c r="D2913" t="s">
        <v>115</v>
      </c>
      <c r="E2913" t="s">
        <v>116</v>
      </c>
      <c r="F2913" t="s">
        <v>117</v>
      </c>
      <c r="H2913" t="s">
        <v>751</v>
      </c>
      <c r="L2913">
        <v>0</v>
      </c>
      <c r="M2913">
        <v>0</v>
      </c>
      <c r="N2913">
        <v>0</v>
      </c>
      <c r="O2913" s="1">
        <v>45582.317106481481</v>
      </c>
      <c r="P2913" t="s">
        <v>138</v>
      </c>
    </row>
    <row r="2914" spans="1:16" x14ac:dyDescent="0.3">
      <c r="A2914" t="s">
        <v>25</v>
      </c>
      <c r="B2914" s="1">
        <v>45582.317106481481</v>
      </c>
      <c r="C2914" t="str">
        <f t="shared" ref="C2914:C2920" si="554">"41"</f>
        <v>41</v>
      </c>
      <c r="D2914" t="s">
        <v>120</v>
      </c>
      <c r="E2914" t="s">
        <v>116</v>
      </c>
      <c r="F2914" t="s">
        <v>117</v>
      </c>
      <c r="H2914" t="s">
        <v>751</v>
      </c>
      <c r="I2914" t="str">
        <f>"101050002019974"</f>
        <v>101050002019974</v>
      </c>
      <c r="J2914" t="str">
        <f t="shared" ref="J2914:J2920" si="555">"514719"</f>
        <v>514719</v>
      </c>
      <c r="K2914" t="s">
        <v>0</v>
      </c>
      <c r="L2914">
        <v>49</v>
      </c>
      <c r="M2914">
        <v>49</v>
      </c>
      <c r="N2914">
        <v>0</v>
      </c>
      <c r="O2914" s="1">
        <v>45582.317106481481</v>
      </c>
      <c r="P2914" t="s">
        <v>138</v>
      </c>
    </row>
    <row r="2915" spans="1:16" x14ac:dyDescent="0.3">
      <c r="A2915" t="s">
        <v>25</v>
      </c>
      <c r="B2915" s="1">
        <v>45582.317106481481</v>
      </c>
      <c r="C2915" t="str">
        <f t="shared" si="554"/>
        <v>41</v>
      </c>
      <c r="D2915" t="s">
        <v>120</v>
      </c>
      <c r="E2915" t="s">
        <v>116</v>
      </c>
      <c r="F2915" t="s">
        <v>117</v>
      </c>
      <c r="H2915" t="s">
        <v>751</v>
      </c>
      <c r="I2915" t="str">
        <f>"101050002020115"</f>
        <v>101050002020115</v>
      </c>
      <c r="J2915" t="str">
        <f t="shared" si="555"/>
        <v>514719</v>
      </c>
      <c r="K2915" t="s">
        <v>0</v>
      </c>
      <c r="L2915">
        <v>49</v>
      </c>
      <c r="M2915">
        <v>49</v>
      </c>
      <c r="N2915">
        <v>0</v>
      </c>
      <c r="O2915" s="1">
        <v>45582.317106481481</v>
      </c>
      <c r="P2915" t="s">
        <v>138</v>
      </c>
    </row>
    <row r="2916" spans="1:16" x14ac:dyDescent="0.3">
      <c r="A2916" t="s">
        <v>25</v>
      </c>
      <c r="B2916" s="1">
        <v>45582.317106481481</v>
      </c>
      <c r="C2916" t="str">
        <f t="shared" si="554"/>
        <v>41</v>
      </c>
      <c r="D2916" t="s">
        <v>120</v>
      </c>
      <c r="E2916" t="s">
        <v>116</v>
      </c>
      <c r="F2916" t="s">
        <v>117</v>
      </c>
      <c r="H2916" t="s">
        <v>751</v>
      </c>
      <c r="I2916" t="str">
        <f>"101050002020113"</f>
        <v>101050002020113</v>
      </c>
      <c r="J2916" t="str">
        <f t="shared" si="555"/>
        <v>514719</v>
      </c>
      <c r="K2916" t="s">
        <v>0</v>
      </c>
      <c r="L2916">
        <v>49</v>
      </c>
      <c r="M2916">
        <v>49</v>
      </c>
      <c r="N2916">
        <v>0</v>
      </c>
      <c r="O2916" s="1">
        <v>45582.317106481481</v>
      </c>
      <c r="P2916" t="s">
        <v>138</v>
      </c>
    </row>
    <row r="2917" spans="1:16" x14ac:dyDescent="0.3">
      <c r="A2917" t="s">
        <v>25</v>
      </c>
      <c r="B2917" s="1">
        <v>45582.317106481481</v>
      </c>
      <c r="C2917" t="str">
        <f t="shared" si="554"/>
        <v>41</v>
      </c>
      <c r="D2917" t="s">
        <v>120</v>
      </c>
      <c r="E2917" t="s">
        <v>116</v>
      </c>
      <c r="F2917" t="s">
        <v>117</v>
      </c>
      <c r="H2917" t="s">
        <v>751</v>
      </c>
      <c r="I2917" t="str">
        <f>"101050002020116"</f>
        <v>101050002020116</v>
      </c>
      <c r="J2917" t="str">
        <f t="shared" si="555"/>
        <v>514719</v>
      </c>
      <c r="K2917" t="s">
        <v>0</v>
      </c>
      <c r="L2917">
        <v>49</v>
      </c>
      <c r="M2917">
        <v>49</v>
      </c>
      <c r="N2917">
        <v>0</v>
      </c>
      <c r="O2917" s="1">
        <v>45582.317106481481</v>
      </c>
      <c r="P2917" t="s">
        <v>138</v>
      </c>
    </row>
    <row r="2918" spans="1:16" x14ac:dyDescent="0.3">
      <c r="A2918" t="s">
        <v>25</v>
      </c>
      <c r="B2918" s="1">
        <v>45582.317094907405</v>
      </c>
      <c r="C2918" t="str">
        <f t="shared" si="554"/>
        <v>41</v>
      </c>
      <c r="D2918" t="s">
        <v>120</v>
      </c>
      <c r="E2918" t="s">
        <v>116</v>
      </c>
      <c r="F2918" t="s">
        <v>117</v>
      </c>
      <c r="H2918" t="s">
        <v>751</v>
      </c>
      <c r="I2918" t="str">
        <f>"101050002019786"</f>
        <v>101050002019786</v>
      </c>
      <c r="J2918" t="str">
        <f t="shared" si="555"/>
        <v>514719</v>
      </c>
      <c r="K2918" t="s">
        <v>0</v>
      </c>
      <c r="L2918">
        <v>49</v>
      </c>
      <c r="M2918">
        <v>49</v>
      </c>
      <c r="N2918">
        <v>0</v>
      </c>
      <c r="O2918" s="1">
        <v>45582.317094907405</v>
      </c>
      <c r="P2918" t="s">
        <v>138</v>
      </c>
    </row>
    <row r="2919" spans="1:16" x14ac:dyDescent="0.3">
      <c r="A2919" t="s">
        <v>25</v>
      </c>
      <c r="B2919" s="1">
        <v>45582.317094907405</v>
      </c>
      <c r="C2919" t="str">
        <f t="shared" si="554"/>
        <v>41</v>
      </c>
      <c r="D2919" t="s">
        <v>120</v>
      </c>
      <c r="E2919" t="s">
        <v>116</v>
      </c>
      <c r="F2919" t="s">
        <v>117</v>
      </c>
      <c r="H2919" t="s">
        <v>751</v>
      </c>
      <c r="I2919" t="str">
        <f>"101050002020111"</f>
        <v>101050002020111</v>
      </c>
      <c r="J2919" t="str">
        <f t="shared" si="555"/>
        <v>514719</v>
      </c>
      <c r="K2919" t="s">
        <v>0</v>
      </c>
      <c r="L2919">
        <v>49</v>
      </c>
      <c r="M2919">
        <v>49</v>
      </c>
      <c r="N2919">
        <v>0</v>
      </c>
      <c r="O2919" s="1">
        <v>45582.317094907405</v>
      </c>
      <c r="P2919" t="s">
        <v>138</v>
      </c>
    </row>
    <row r="2920" spans="1:16" x14ac:dyDescent="0.3">
      <c r="A2920" t="s">
        <v>25</v>
      </c>
      <c r="B2920" s="1">
        <v>45582.317094907405</v>
      </c>
      <c r="C2920" t="str">
        <f t="shared" si="554"/>
        <v>41</v>
      </c>
      <c r="D2920" t="s">
        <v>120</v>
      </c>
      <c r="E2920" t="s">
        <v>116</v>
      </c>
      <c r="F2920" t="s">
        <v>117</v>
      </c>
      <c r="H2920" t="s">
        <v>751</v>
      </c>
      <c r="I2920" t="str">
        <f>"101050002019975"</f>
        <v>101050002019975</v>
      </c>
      <c r="J2920" t="str">
        <f t="shared" si="555"/>
        <v>514719</v>
      </c>
      <c r="K2920" t="s">
        <v>0</v>
      </c>
      <c r="L2920">
        <v>49</v>
      </c>
      <c r="M2920">
        <v>49</v>
      </c>
      <c r="N2920">
        <v>0</v>
      </c>
      <c r="O2920" s="1">
        <v>45582.317094907405</v>
      </c>
      <c r="P2920" t="s">
        <v>138</v>
      </c>
    </row>
    <row r="2921" spans="1:16" x14ac:dyDescent="0.3">
      <c r="A2921" t="s">
        <v>25</v>
      </c>
      <c r="B2921" s="1">
        <v>45582.316712962966</v>
      </c>
      <c r="C2921" t="str">
        <f>"38"</f>
        <v>38</v>
      </c>
      <c r="D2921" t="s">
        <v>115</v>
      </c>
      <c r="E2921" t="s">
        <v>116</v>
      </c>
      <c r="F2921" t="s">
        <v>117</v>
      </c>
      <c r="H2921" t="s">
        <v>752</v>
      </c>
      <c r="L2921">
        <v>0</v>
      </c>
      <c r="M2921">
        <v>0</v>
      </c>
      <c r="N2921">
        <v>0</v>
      </c>
      <c r="O2921" s="1">
        <v>45582.316712962966</v>
      </c>
      <c r="P2921" t="s">
        <v>125</v>
      </c>
    </row>
    <row r="2922" spans="1:16" x14ac:dyDescent="0.3">
      <c r="A2922" t="s">
        <v>25</v>
      </c>
      <c r="B2922" s="1">
        <v>45582.316076388888</v>
      </c>
      <c r="C2922" t="str">
        <f>"38"</f>
        <v>38</v>
      </c>
      <c r="D2922" t="s">
        <v>115</v>
      </c>
      <c r="E2922" t="s">
        <v>116</v>
      </c>
      <c r="F2922" t="s">
        <v>117</v>
      </c>
      <c r="H2922" t="s">
        <v>753</v>
      </c>
      <c r="L2922">
        <v>0</v>
      </c>
      <c r="M2922">
        <v>0</v>
      </c>
      <c r="N2922">
        <v>0</v>
      </c>
      <c r="O2922" s="1">
        <v>45582.316076388888</v>
      </c>
      <c r="P2922" t="s">
        <v>392</v>
      </c>
    </row>
    <row r="2923" spans="1:16" x14ac:dyDescent="0.3">
      <c r="A2923" t="s">
        <v>25</v>
      </c>
      <c r="B2923" s="1">
        <v>45582.316076388888</v>
      </c>
      <c r="C2923" t="str">
        <f>"41"</f>
        <v>41</v>
      </c>
      <c r="D2923" t="s">
        <v>120</v>
      </c>
      <c r="E2923" t="s">
        <v>116</v>
      </c>
      <c r="F2923" t="s">
        <v>117</v>
      </c>
      <c r="H2923" t="s">
        <v>753</v>
      </c>
      <c r="I2923" t="str">
        <f>"101050001927639"</f>
        <v>101050001927639</v>
      </c>
      <c r="J2923" t="str">
        <f>"125192"</f>
        <v>125192</v>
      </c>
      <c r="K2923" t="s">
        <v>42</v>
      </c>
      <c r="L2923">
        <v>49</v>
      </c>
      <c r="M2923">
        <v>49</v>
      </c>
      <c r="N2923">
        <v>0</v>
      </c>
      <c r="O2923" s="1">
        <v>45582.316076388888</v>
      </c>
      <c r="P2923" t="s">
        <v>392</v>
      </c>
    </row>
    <row r="2924" spans="1:16" x14ac:dyDescent="0.3">
      <c r="A2924" t="s">
        <v>25</v>
      </c>
      <c r="B2924" s="1">
        <v>45582.316076388888</v>
      </c>
      <c r="C2924" t="str">
        <f>"41"</f>
        <v>41</v>
      </c>
      <c r="D2924" t="s">
        <v>120</v>
      </c>
      <c r="E2924" t="s">
        <v>116</v>
      </c>
      <c r="F2924" t="s">
        <v>117</v>
      </c>
      <c r="H2924" t="s">
        <v>753</v>
      </c>
      <c r="I2924" t="str">
        <f>"101050001927635"</f>
        <v>101050001927635</v>
      </c>
      <c r="J2924" t="str">
        <f>"125192"</f>
        <v>125192</v>
      </c>
      <c r="K2924" t="s">
        <v>42</v>
      </c>
      <c r="L2924">
        <v>49</v>
      </c>
      <c r="M2924">
        <v>49</v>
      </c>
      <c r="N2924">
        <v>0</v>
      </c>
      <c r="O2924" s="1">
        <v>45582.316076388888</v>
      </c>
      <c r="P2924" t="s">
        <v>392</v>
      </c>
    </row>
    <row r="2925" spans="1:16" x14ac:dyDescent="0.3">
      <c r="A2925" t="s">
        <v>25</v>
      </c>
      <c r="B2925" s="1">
        <v>45582.316064814811</v>
      </c>
      <c r="C2925" t="str">
        <f>"41"</f>
        <v>41</v>
      </c>
      <c r="D2925" t="s">
        <v>120</v>
      </c>
      <c r="E2925" t="s">
        <v>116</v>
      </c>
      <c r="F2925" t="s">
        <v>117</v>
      </c>
      <c r="H2925" t="s">
        <v>753</v>
      </c>
      <c r="I2925" t="str">
        <f>"101050001927634"</f>
        <v>101050001927634</v>
      </c>
      <c r="J2925" t="str">
        <f>"125192"</f>
        <v>125192</v>
      </c>
      <c r="K2925" t="s">
        <v>42</v>
      </c>
      <c r="L2925">
        <v>49</v>
      </c>
      <c r="M2925">
        <v>49</v>
      </c>
      <c r="N2925">
        <v>0</v>
      </c>
      <c r="O2925" s="1">
        <v>45582.316064814811</v>
      </c>
      <c r="P2925" t="s">
        <v>392</v>
      </c>
    </row>
    <row r="2926" spans="1:16" x14ac:dyDescent="0.3">
      <c r="A2926" t="s">
        <v>25</v>
      </c>
      <c r="B2926" s="1">
        <v>45582.316064814811</v>
      </c>
      <c r="C2926" t="str">
        <f>"41"</f>
        <v>41</v>
      </c>
      <c r="D2926" t="s">
        <v>120</v>
      </c>
      <c r="E2926" t="s">
        <v>116</v>
      </c>
      <c r="F2926" t="s">
        <v>117</v>
      </c>
      <c r="H2926" t="s">
        <v>753</v>
      </c>
      <c r="I2926" t="str">
        <f>"101050001927540"</f>
        <v>101050001927540</v>
      </c>
      <c r="J2926" t="str">
        <f>"125192"</f>
        <v>125192</v>
      </c>
      <c r="K2926" t="s">
        <v>42</v>
      </c>
      <c r="L2926">
        <v>49</v>
      </c>
      <c r="M2926">
        <v>49</v>
      </c>
      <c r="N2926">
        <v>0</v>
      </c>
      <c r="O2926" s="1">
        <v>45582.316064814811</v>
      </c>
      <c r="P2926" t="s">
        <v>392</v>
      </c>
    </row>
    <row r="2927" spans="1:16" x14ac:dyDescent="0.3">
      <c r="A2927" t="s">
        <v>25</v>
      </c>
      <c r="B2927" s="1">
        <v>45582.316064814811</v>
      </c>
      <c r="C2927" t="str">
        <f>"41"</f>
        <v>41</v>
      </c>
      <c r="D2927" t="s">
        <v>120</v>
      </c>
      <c r="E2927" t="s">
        <v>116</v>
      </c>
      <c r="F2927" t="s">
        <v>117</v>
      </c>
      <c r="H2927" t="s">
        <v>753</v>
      </c>
      <c r="I2927" t="str">
        <f>"101050001955683"</f>
        <v>101050001955683</v>
      </c>
      <c r="J2927" t="str">
        <f>"125192"</f>
        <v>125192</v>
      </c>
      <c r="K2927" t="s">
        <v>42</v>
      </c>
      <c r="L2927">
        <v>49</v>
      </c>
      <c r="M2927">
        <v>49</v>
      </c>
      <c r="N2927">
        <v>0</v>
      </c>
      <c r="O2927" s="1">
        <v>45582.316064814811</v>
      </c>
      <c r="P2927" t="s">
        <v>392</v>
      </c>
    </row>
    <row r="2928" spans="1:16" x14ac:dyDescent="0.3">
      <c r="A2928" t="s">
        <v>25</v>
      </c>
      <c r="B2928" s="1">
        <v>45582.315844907411</v>
      </c>
      <c r="C2928" t="str">
        <f>"38"</f>
        <v>38</v>
      </c>
      <c r="D2928" t="s">
        <v>115</v>
      </c>
      <c r="E2928" t="s">
        <v>116</v>
      </c>
      <c r="F2928" t="s">
        <v>117</v>
      </c>
      <c r="H2928" t="s">
        <v>754</v>
      </c>
      <c r="L2928">
        <v>0</v>
      </c>
      <c r="M2928">
        <v>0</v>
      </c>
      <c r="N2928">
        <v>0</v>
      </c>
      <c r="O2928" s="1">
        <v>45582.315844907411</v>
      </c>
      <c r="P2928" t="s">
        <v>125</v>
      </c>
    </row>
    <row r="2929" spans="1:16" x14ac:dyDescent="0.3">
      <c r="A2929" t="s">
        <v>25</v>
      </c>
      <c r="B2929" s="1">
        <v>45582.315844907411</v>
      </c>
      <c r="C2929" t="str">
        <f t="shared" ref="C2929:C2935" si="556">"41"</f>
        <v>41</v>
      </c>
      <c r="D2929" t="s">
        <v>120</v>
      </c>
      <c r="E2929" t="s">
        <v>116</v>
      </c>
      <c r="F2929" t="s">
        <v>117</v>
      </c>
      <c r="H2929" t="s">
        <v>754</v>
      </c>
      <c r="I2929" t="str">
        <f>"101050002022962"</f>
        <v>101050002022962</v>
      </c>
      <c r="J2929" t="str">
        <f t="shared" ref="J2929:J2935" si="557">"126473"</f>
        <v>126473</v>
      </c>
      <c r="K2929" t="s">
        <v>46</v>
      </c>
      <c r="L2929">
        <v>49</v>
      </c>
      <c r="M2929">
        <v>49</v>
      </c>
      <c r="N2929">
        <v>0</v>
      </c>
      <c r="O2929" s="1">
        <v>45582.315844907411</v>
      </c>
      <c r="P2929" t="s">
        <v>125</v>
      </c>
    </row>
    <row r="2930" spans="1:16" x14ac:dyDescent="0.3">
      <c r="A2930" t="s">
        <v>25</v>
      </c>
      <c r="B2930" s="1">
        <v>45582.315844907411</v>
      </c>
      <c r="C2930" t="str">
        <f t="shared" si="556"/>
        <v>41</v>
      </c>
      <c r="D2930" t="s">
        <v>120</v>
      </c>
      <c r="E2930" t="s">
        <v>116</v>
      </c>
      <c r="F2930" t="s">
        <v>117</v>
      </c>
      <c r="H2930" t="s">
        <v>754</v>
      </c>
      <c r="I2930" t="str">
        <f>"101050002022961"</f>
        <v>101050002022961</v>
      </c>
      <c r="J2930" t="str">
        <f t="shared" si="557"/>
        <v>126473</v>
      </c>
      <c r="K2930" t="s">
        <v>46</v>
      </c>
      <c r="L2930">
        <v>49</v>
      </c>
      <c r="M2930">
        <v>49</v>
      </c>
      <c r="N2930">
        <v>0</v>
      </c>
      <c r="O2930" s="1">
        <v>45582.315844907411</v>
      </c>
      <c r="P2930" t="s">
        <v>125</v>
      </c>
    </row>
    <row r="2931" spans="1:16" x14ac:dyDescent="0.3">
      <c r="A2931" t="s">
        <v>25</v>
      </c>
      <c r="B2931" s="1">
        <v>45582.315844907411</v>
      </c>
      <c r="C2931" t="str">
        <f t="shared" si="556"/>
        <v>41</v>
      </c>
      <c r="D2931" t="s">
        <v>120</v>
      </c>
      <c r="E2931" t="s">
        <v>116</v>
      </c>
      <c r="F2931" t="s">
        <v>117</v>
      </c>
      <c r="H2931" t="s">
        <v>754</v>
      </c>
      <c r="I2931" t="str">
        <f>"101050002022784"</f>
        <v>101050002022784</v>
      </c>
      <c r="J2931" t="str">
        <f t="shared" si="557"/>
        <v>126473</v>
      </c>
      <c r="K2931" t="s">
        <v>46</v>
      </c>
      <c r="L2931">
        <v>49</v>
      </c>
      <c r="M2931">
        <v>49</v>
      </c>
      <c r="N2931">
        <v>0</v>
      </c>
      <c r="O2931" s="1">
        <v>45582.315844907411</v>
      </c>
      <c r="P2931" t="s">
        <v>125</v>
      </c>
    </row>
    <row r="2932" spans="1:16" x14ac:dyDescent="0.3">
      <c r="A2932" t="s">
        <v>25</v>
      </c>
      <c r="B2932" s="1">
        <v>45582.315833333334</v>
      </c>
      <c r="C2932" t="str">
        <f t="shared" si="556"/>
        <v>41</v>
      </c>
      <c r="D2932" t="s">
        <v>120</v>
      </c>
      <c r="E2932" t="s">
        <v>116</v>
      </c>
      <c r="F2932" t="s">
        <v>117</v>
      </c>
      <c r="H2932" t="s">
        <v>754</v>
      </c>
      <c r="I2932" t="str">
        <f>"101050002010052"</f>
        <v>101050002010052</v>
      </c>
      <c r="J2932" t="str">
        <f t="shared" si="557"/>
        <v>126473</v>
      </c>
      <c r="K2932" t="s">
        <v>46</v>
      </c>
      <c r="L2932">
        <v>49</v>
      </c>
      <c r="M2932">
        <v>49</v>
      </c>
      <c r="N2932">
        <v>0</v>
      </c>
      <c r="O2932" s="1">
        <v>45582.315833333334</v>
      </c>
      <c r="P2932" t="s">
        <v>125</v>
      </c>
    </row>
    <row r="2933" spans="1:16" x14ac:dyDescent="0.3">
      <c r="A2933" t="s">
        <v>25</v>
      </c>
      <c r="B2933" s="1">
        <v>45582.315833333334</v>
      </c>
      <c r="C2933" t="str">
        <f t="shared" si="556"/>
        <v>41</v>
      </c>
      <c r="D2933" t="s">
        <v>120</v>
      </c>
      <c r="E2933" t="s">
        <v>116</v>
      </c>
      <c r="F2933" t="s">
        <v>117</v>
      </c>
      <c r="H2933" t="s">
        <v>754</v>
      </c>
      <c r="I2933" t="str">
        <f>"101050002010057"</f>
        <v>101050002010057</v>
      </c>
      <c r="J2933" t="str">
        <f t="shared" si="557"/>
        <v>126473</v>
      </c>
      <c r="K2933" t="s">
        <v>46</v>
      </c>
      <c r="L2933">
        <v>49</v>
      </c>
      <c r="M2933">
        <v>49</v>
      </c>
      <c r="N2933">
        <v>0</v>
      </c>
      <c r="O2933" s="1">
        <v>45582.315833333334</v>
      </c>
      <c r="P2933" t="s">
        <v>125</v>
      </c>
    </row>
    <row r="2934" spans="1:16" x14ac:dyDescent="0.3">
      <c r="A2934" t="s">
        <v>25</v>
      </c>
      <c r="B2934" s="1">
        <v>45582.315833333334</v>
      </c>
      <c r="C2934" t="str">
        <f t="shared" si="556"/>
        <v>41</v>
      </c>
      <c r="D2934" t="s">
        <v>120</v>
      </c>
      <c r="E2934" t="s">
        <v>116</v>
      </c>
      <c r="F2934" t="s">
        <v>117</v>
      </c>
      <c r="H2934" t="s">
        <v>754</v>
      </c>
      <c r="I2934" t="str">
        <f>"101050002010553"</f>
        <v>101050002010553</v>
      </c>
      <c r="J2934" t="str">
        <f t="shared" si="557"/>
        <v>126473</v>
      </c>
      <c r="K2934" t="s">
        <v>46</v>
      </c>
      <c r="L2934">
        <v>49</v>
      </c>
      <c r="M2934">
        <v>49</v>
      </c>
      <c r="N2934">
        <v>0</v>
      </c>
      <c r="O2934" s="1">
        <v>45582.315833333334</v>
      </c>
      <c r="P2934" t="s">
        <v>125</v>
      </c>
    </row>
    <row r="2935" spans="1:16" x14ac:dyDescent="0.3">
      <c r="A2935" t="s">
        <v>25</v>
      </c>
      <c r="B2935" s="1">
        <v>45582.315833333334</v>
      </c>
      <c r="C2935" t="str">
        <f t="shared" si="556"/>
        <v>41</v>
      </c>
      <c r="D2935" t="s">
        <v>120</v>
      </c>
      <c r="E2935" t="s">
        <v>116</v>
      </c>
      <c r="F2935" t="s">
        <v>117</v>
      </c>
      <c r="H2935" t="s">
        <v>754</v>
      </c>
      <c r="I2935" t="str">
        <f>"101050001980973"</f>
        <v>101050001980973</v>
      </c>
      <c r="J2935" t="str">
        <f t="shared" si="557"/>
        <v>126473</v>
      </c>
      <c r="K2935" t="s">
        <v>46</v>
      </c>
      <c r="L2935">
        <v>49</v>
      </c>
      <c r="M2935">
        <v>49</v>
      </c>
      <c r="N2935">
        <v>0</v>
      </c>
      <c r="O2935" s="1">
        <v>45582.315833333334</v>
      </c>
      <c r="P2935" t="s">
        <v>125</v>
      </c>
    </row>
    <row r="2936" spans="1:16" x14ac:dyDescent="0.3">
      <c r="A2936" t="s">
        <v>25</v>
      </c>
      <c r="B2936" s="1">
        <v>45582.314687500002</v>
      </c>
      <c r="C2936" t="str">
        <f>"38"</f>
        <v>38</v>
      </c>
      <c r="D2936" t="s">
        <v>115</v>
      </c>
      <c r="E2936" t="s">
        <v>116</v>
      </c>
      <c r="F2936" t="s">
        <v>117</v>
      </c>
      <c r="H2936" t="s">
        <v>755</v>
      </c>
      <c r="L2936">
        <v>0</v>
      </c>
      <c r="M2936">
        <v>0</v>
      </c>
      <c r="N2936">
        <v>0</v>
      </c>
      <c r="O2936" s="1">
        <v>45582.314687500002</v>
      </c>
      <c r="P2936" t="s">
        <v>392</v>
      </c>
    </row>
    <row r="2937" spans="1:16" x14ac:dyDescent="0.3">
      <c r="A2937" t="s">
        <v>25</v>
      </c>
      <c r="B2937" s="1">
        <v>45582.314687500002</v>
      </c>
      <c r="C2937" t="str">
        <f>"41"</f>
        <v>41</v>
      </c>
      <c r="D2937" t="s">
        <v>120</v>
      </c>
      <c r="E2937" t="s">
        <v>116</v>
      </c>
      <c r="F2937" t="s">
        <v>117</v>
      </c>
      <c r="H2937" t="s">
        <v>755</v>
      </c>
      <c r="I2937" t="str">
        <f>"101050002014810"</f>
        <v>101050002014810</v>
      </c>
      <c r="J2937" t="str">
        <f>"31090"</f>
        <v>31090</v>
      </c>
      <c r="K2937" t="s">
        <v>76</v>
      </c>
      <c r="L2937">
        <v>49</v>
      </c>
      <c r="M2937">
        <v>49</v>
      </c>
      <c r="N2937">
        <v>0</v>
      </c>
      <c r="O2937" s="1">
        <v>45582.314687500002</v>
      </c>
      <c r="P2937" t="s">
        <v>392</v>
      </c>
    </row>
    <row r="2938" spans="1:16" x14ac:dyDescent="0.3">
      <c r="A2938" t="s">
        <v>25</v>
      </c>
      <c r="B2938" s="1">
        <v>45582.314687500002</v>
      </c>
      <c r="C2938" t="str">
        <f>"41"</f>
        <v>41</v>
      </c>
      <c r="D2938" t="s">
        <v>120</v>
      </c>
      <c r="E2938" t="s">
        <v>116</v>
      </c>
      <c r="F2938" t="s">
        <v>117</v>
      </c>
      <c r="H2938" t="s">
        <v>755</v>
      </c>
      <c r="I2938" t="str">
        <f>"101050002014622"</f>
        <v>101050002014622</v>
      </c>
      <c r="J2938" t="str">
        <f>"31090"</f>
        <v>31090</v>
      </c>
      <c r="K2938" t="s">
        <v>76</v>
      </c>
      <c r="L2938">
        <v>49</v>
      </c>
      <c r="M2938">
        <v>49</v>
      </c>
      <c r="N2938">
        <v>0</v>
      </c>
      <c r="O2938" s="1">
        <v>45582.314687500002</v>
      </c>
      <c r="P2938" t="s">
        <v>392</v>
      </c>
    </row>
    <row r="2939" spans="1:16" x14ac:dyDescent="0.3">
      <c r="A2939" t="s">
        <v>25</v>
      </c>
      <c r="B2939" s="1">
        <v>45582.314687500002</v>
      </c>
      <c r="C2939" t="str">
        <f>"41"</f>
        <v>41</v>
      </c>
      <c r="D2939" t="s">
        <v>120</v>
      </c>
      <c r="E2939" t="s">
        <v>116</v>
      </c>
      <c r="F2939" t="s">
        <v>117</v>
      </c>
      <c r="H2939" t="s">
        <v>755</v>
      </c>
      <c r="I2939" t="str">
        <f>"101050002014558"</f>
        <v>101050002014558</v>
      </c>
      <c r="J2939" t="str">
        <f>"31090"</f>
        <v>31090</v>
      </c>
      <c r="K2939" t="s">
        <v>76</v>
      </c>
      <c r="L2939">
        <v>49</v>
      </c>
      <c r="M2939">
        <v>49</v>
      </c>
      <c r="N2939">
        <v>0</v>
      </c>
      <c r="O2939" s="1">
        <v>45582.314687500002</v>
      </c>
      <c r="P2939" t="s">
        <v>392</v>
      </c>
    </row>
    <row r="2940" spans="1:16" x14ac:dyDescent="0.3">
      <c r="A2940" t="s">
        <v>25</v>
      </c>
      <c r="B2940" s="1">
        <v>45582.314687500002</v>
      </c>
      <c r="C2940" t="str">
        <f>"41"</f>
        <v>41</v>
      </c>
      <c r="D2940" t="s">
        <v>120</v>
      </c>
      <c r="E2940" t="s">
        <v>116</v>
      </c>
      <c r="F2940" t="s">
        <v>117</v>
      </c>
      <c r="H2940" t="s">
        <v>755</v>
      </c>
      <c r="I2940" t="str">
        <f>"101050002014774"</f>
        <v>101050002014774</v>
      </c>
      <c r="J2940" t="str">
        <f>"31090"</f>
        <v>31090</v>
      </c>
      <c r="K2940" t="s">
        <v>76</v>
      </c>
      <c r="L2940">
        <v>49</v>
      </c>
      <c r="M2940">
        <v>49</v>
      </c>
      <c r="N2940">
        <v>0</v>
      </c>
      <c r="O2940" s="1">
        <v>45582.314687500002</v>
      </c>
      <c r="P2940" t="s">
        <v>392</v>
      </c>
    </row>
    <row r="2941" spans="1:16" x14ac:dyDescent="0.3">
      <c r="A2941" t="s">
        <v>25</v>
      </c>
      <c r="B2941" s="1">
        <v>45582.314618055556</v>
      </c>
      <c r="C2941" t="str">
        <f>"38"</f>
        <v>38</v>
      </c>
      <c r="D2941" t="s">
        <v>115</v>
      </c>
      <c r="E2941" t="s">
        <v>116</v>
      </c>
      <c r="F2941" t="s">
        <v>117</v>
      </c>
      <c r="H2941" t="s">
        <v>756</v>
      </c>
      <c r="L2941">
        <v>0</v>
      </c>
      <c r="M2941">
        <v>0</v>
      </c>
      <c r="N2941">
        <v>0</v>
      </c>
      <c r="O2941" s="1">
        <v>45582.314618055556</v>
      </c>
      <c r="P2941" t="s">
        <v>125</v>
      </c>
    </row>
    <row r="2942" spans="1:16" x14ac:dyDescent="0.3">
      <c r="A2942" t="s">
        <v>25</v>
      </c>
      <c r="B2942" s="1">
        <v>45582.314074074071</v>
      </c>
      <c r="C2942" t="str">
        <f>"38"</f>
        <v>38</v>
      </c>
      <c r="D2942" t="s">
        <v>115</v>
      </c>
      <c r="E2942" t="s">
        <v>116</v>
      </c>
      <c r="F2942" t="s">
        <v>117</v>
      </c>
      <c r="H2942" t="s">
        <v>757</v>
      </c>
      <c r="L2942">
        <v>0</v>
      </c>
      <c r="M2942">
        <v>0</v>
      </c>
      <c r="N2942">
        <v>0</v>
      </c>
      <c r="O2942" s="1">
        <v>45582.314074074071</v>
      </c>
      <c r="P2942" t="s">
        <v>392</v>
      </c>
    </row>
    <row r="2943" spans="1:16" x14ac:dyDescent="0.3">
      <c r="A2943" t="s">
        <v>25</v>
      </c>
      <c r="B2943" s="1">
        <v>45582.314074074071</v>
      </c>
      <c r="C2943" t="str">
        <f>"41"</f>
        <v>41</v>
      </c>
      <c r="D2943" t="s">
        <v>120</v>
      </c>
      <c r="E2943" t="s">
        <v>116</v>
      </c>
      <c r="F2943" t="s">
        <v>117</v>
      </c>
      <c r="H2943" t="s">
        <v>757</v>
      </c>
      <c r="I2943" t="str">
        <f>"101050001976891"</f>
        <v>101050001976891</v>
      </c>
      <c r="J2943" t="str">
        <f>"126475"</f>
        <v>126475</v>
      </c>
      <c r="K2943" t="s">
        <v>22</v>
      </c>
      <c r="L2943">
        <v>49</v>
      </c>
      <c r="M2943">
        <v>49</v>
      </c>
      <c r="N2943">
        <v>0</v>
      </c>
      <c r="O2943" s="1">
        <v>45582.314074074071</v>
      </c>
      <c r="P2943" t="s">
        <v>392</v>
      </c>
    </row>
    <row r="2944" spans="1:16" x14ac:dyDescent="0.3">
      <c r="A2944" t="s">
        <v>25</v>
      </c>
      <c r="B2944" s="1">
        <v>45582.313657407409</v>
      </c>
      <c r="C2944" t="str">
        <f>"38"</f>
        <v>38</v>
      </c>
      <c r="D2944" t="s">
        <v>115</v>
      </c>
      <c r="E2944" t="s">
        <v>116</v>
      </c>
      <c r="F2944" t="s">
        <v>117</v>
      </c>
      <c r="H2944" t="s">
        <v>758</v>
      </c>
      <c r="L2944">
        <v>0</v>
      </c>
      <c r="M2944">
        <v>0</v>
      </c>
      <c r="N2944">
        <v>0</v>
      </c>
      <c r="O2944" s="1">
        <v>45582.313657407409</v>
      </c>
      <c r="P2944" t="s">
        <v>392</v>
      </c>
    </row>
    <row r="2945" spans="1:16" x14ac:dyDescent="0.3">
      <c r="A2945" t="s">
        <v>25</v>
      </c>
      <c r="B2945" s="1">
        <v>45582.313657407409</v>
      </c>
      <c r="C2945" t="str">
        <f>"41"</f>
        <v>41</v>
      </c>
      <c r="D2945" t="s">
        <v>120</v>
      </c>
      <c r="E2945" t="s">
        <v>116</v>
      </c>
      <c r="F2945" t="s">
        <v>117</v>
      </c>
      <c r="H2945" t="s">
        <v>758</v>
      </c>
      <c r="I2945" t="str">
        <f>"101570001097933"</f>
        <v>101570001097933</v>
      </c>
      <c r="J2945" t="str">
        <f>"124237"</f>
        <v>124237</v>
      </c>
      <c r="K2945" t="s">
        <v>31</v>
      </c>
      <c r="L2945">
        <v>49</v>
      </c>
      <c r="M2945">
        <v>49</v>
      </c>
      <c r="N2945">
        <v>0</v>
      </c>
      <c r="O2945" s="1">
        <v>45582.313657407409</v>
      </c>
      <c r="P2945" t="s">
        <v>392</v>
      </c>
    </row>
    <row r="2946" spans="1:16" x14ac:dyDescent="0.3">
      <c r="A2946" t="s">
        <v>25</v>
      </c>
      <c r="B2946" s="1">
        <v>45582.313657407409</v>
      </c>
      <c r="C2946" t="str">
        <f>"41"</f>
        <v>41</v>
      </c>
      <c r="D2946" t="s">
        <v>120</v>
      </c>
      <c r="E2946" t="s">
        <v>116</v>
      </c>
      <c r="F2946" t="s">
        <v>117</v>
      </c>
      <c r="H2946" t="s">
        <v>758</v>
      </c>
      <c r="I2946" t="str">
        <f>"101570001097774"</f>
        <v>101570001097774</v>
      </c>
      <c r="J2946" t="str">
        <f>"124237"</f>
        <v>124237</v>
      </c>
      <c r="K2946" t="s">
        <v>31</v>
      </c>
      <c r="L2946">
        <v>49</v>
      </c>
      <c r="M2946">
        <v>49</v>
      </c>
      <c r="N2946">
        <v>0</v>
      </c>
      <c r="O2946" s="1">
        <v>45582.313657407409</v>
      </c>
      <c r="P2946" t="s">
        <v>392</v>
      </c>
    </row>
    <row r="2947" spans="1:16" x14ac:dyDescent="0.3">
      <c r="A2947" t="s">
        <v>25</v>
      </c>
      <c r="B2947" s="1">
        <v>45582.313645833332</v>
      </c>
      <c r="C2947" t="str">
        <f>"41"</f>
        <v>41</v>
      </c>
      <c r="D2947" t="s">
        <v>120</v>
      </c>
      <c r="E2947" t="s">
        <v>116</v>
      </c>
      <c r="F2947" t="s">
        <v>117</v>
      </c>
      <c r="H2947" t="s">
        <v>758</v>
      </c>
      <c r="I2947" t="str">
        <f>"101570001084769"</f>
        <v>101570001084769</v>
      </c>
      <c r="J2947" t="str">
        <f>"124237"</f>
        <v>124237</v>
      </c>
      <c r="K2947" t="s">
        <v>31</v>
      </c>
      <c r="L2947">
        <v>49</v>
      </c>
      <c r="M2947">
        <v>49</v>
      </c>
      <c r="N2947">
        <v>0</v>
      </c>
      <c r="O2947" s="1">
        <v>45582.313645833332</v>
      </c>
      <c r="P2947" t="s">
        <v>392</v>
      </c>
    </row>
    <row r="2948" spans="1:16" x14ac:dyDescent="0.3">
      <c r="A2948" t="s">
        <v>25</v>
      </c>
      <c r="B2948" s="1">
        <v>45582.313645833332</v>
      </c>
      <c r="C2948" t="str">
        <f>"41"</f>
        <v>41</v>
      </c>
      <c r="D2948" t="s">
        <v>120</v>
      </c>
      <c r="E2948" t="s">
        <v>116</v>
      </c>
      <c r="F2948" t="s">
        <v>117</v>
      </c>
      <c r="H2948" t="s">
        <v>758</v>
      </c>
      <c r="I2948" t="str">
        <f>"101570001084770"</f>
        <v>101570001084770</v>
      </c>
      <c r="J2948" t="str">
        <f>"124237"</f>
        <v>124237</v>
      </c>
      <c r="K2948" t="s">
        <v>31</v>
      </c>
      <c r="L2948">
        <v>49</v>
      </c>
      <c r="M2948">
        <v>49</v>
      </c>
      <c r="N2948">
        <v>0</v>
      </c>
      <c r="O2948" s="1">
        <v>45582.313645833332</v>
      </c>
      <c r="P2948" t="s">
        <v>392</v>
      </c>
    </row>
    <row r="2949" spans="1:16" x14ac:dyDescent="0.3">
      <c r="A2949" t="s">
        <v>25</v>
      </c>
      <c r="B2949" s="1">
        <v>45582.313645833332</v>
      </c>
      <c r="C2949" t="str">
        <f>"41"</f>
        <v>41</v>
      </c>
      <c r="D2949" t="s">
        <v>120</v>
      </c>
      <c r="E2949" t="s">
        <v>116</v>
      </c>
      <c r="F2949" t="s">
        <v>117</v>
      </c>
      <c r="H2949" t="s">
        <v>758</v>
      </c>
      <c r="I2949" t="str">
        <f>"101570001078593"</f>
        <v>101570001078593</v>
      </c>
      <c r="J2949" t="str">
        <f>"124237"</f>
        <v>124237</v>
      </c>
      <c r="K2949" t="s">
        <v>31</v>
      </c>
      <c r="L2949">
        <v>49</v>
      </c>
      <c r="M2949">
        <v>49</v>
      </c>
      <c r="N2949">
        <v>0</v>
      </c>
      <c r="O2949" s="1">
        <v>45582.313645833332</v>
      </c>
      <c r="P2949" t="s">
        <v>392</v>
      </c>
    </row>
    <row r="2950" spans="1:16" x14ac:dyDescent="0.3">
      <c r="A2950" t="s">
        <v>25</v>
      </c>
      <c r="B2950" s="1">
        <v>45582.312094907407</v>
      </c>
      <c r="C2950" t="str">
        <f>"38"</f>
        <v>38</v>
      </c>
      <c r="D2950" t="s">
        <v>115</v>
      </c>
      <c r="E2950" t="s">
        <v>116</v>
      </c>
      <c r="F2950" t="s">
        <v>117</v>
      </c>
      <c r="H2950" t="s">
        <v>759</v>
      </c>
      <c r="L2950">
        <v>0</v>
      </c>
      <c r="M2950">
        <v>0</v>
      </c>
      <c r="N2950">
        <v>0</v>
      </c>
      <c r="O2950" s="1">
        <v>45582.312094907407</v>
      </c>
      <c r="P2950" t="s">
        <v>392</v>
      </c>
    </row>
    <row r="2951" spans="1:16" x14ac:dyDescent="0.3">
      <c r="A2951" t="s">
        <v>25</v>
      </c>
      <c r="B2951" s="1">
        <v>45582.312094907407</v>
      </c>
      <c r="C2951" t="str">
        <f t="shared" ref="C2951:C2957" si="558">"41"</f>
        <v>41</v>
      </c>
      <c r="D2951" t="s">
        <v>120</v>
      </c>
      <c r="E2951" t="s">
        <v>116</v>
      </c>
      <c r="F2951" t="s">
        <v>117</v>
      </c>
      <c r="H2951" t="s">
        <v>759</v>
      </c>
      <c r="I2951" t="str">
        <f>"101050002006866"</f>
        <v>101050002006866</v>
      </c>
      <c r="J2951" t="str">
        <f t="shared" ref="J2951:J2957" si="559">"0800"</f>
        <v>0800</v>
      </c>
      <c r="K2951" t="s">
        <v>26</v>
      </c>
      <c r="L2951">
        <v>49</v>
      </c>
      <c r="M2951">
        <v>49</v>
      </c>
      <c r="N2951">
        <v>0</v>
      </c>
      <c r="O2951" s="1">
        <v>45582.312094907407</v>
      </c>
      <c r="P2951" t="s">
        <v>392</v>
      </c>
    </row>
    <row r="2952" spans="1:16" x14ac:dyDescent="0.3">
      <c r="A2952" t="s">
        <v>25</v>
      </c>
      <c r="B2952" s="1">
        <v>45582.312094907407</v>
      </c>
      <c r="C2952" t="str">
        <f t="shared" si="558"/>
        <v>41</v>
      </c>
      <c r="D2952" t="s">
        <v>120</v>
      </c>
      <c r="E2952" t="s">
        <v>116</v>
      </c>
      <c r="F2952" t="s">
        <v>117</v>
      </c>
      <c r="H2952" t="s">
        <v>759</v>
      </c>
      <c r="I2952" t="str">
        <f>"101050002005906"</f>
        <v>101050002005906</v>
      </c>
      <c r="J2952" t="str">
        <f t="shared" si="559"/>
        <v>0800</v>
      </c>
      <c r="K2952" t="s">
        <v>26</v>
      </c>
      <c r="L2952">
        <v>49</v>
      </c>
      <c r="M2952">
        <v>49</v>
      </c>
      <c r="N2952">
        <v>0</v>
      </c>
      <c r="O2952" s="1">
        <v>45582.312094907407</v>
      </c>
      <c r="P2952" t="s">
        <v>392</v>
      </c>
    </row>
    <row r="2953" spans="1:16" x14ac:dyDescent="0.3">
      <c r="A2953" t="s">
        <v>25</v>
      </c>
      <c r="B2953" s="1">
        <v>45582.312094907407</v>
      </c>
      <c r="C2953" t="str">
        <f t="shared" si="558"/>
        <v>41</v>
      </c>
      <c r="D2953" t="s">
        <v>120</v>
      </c>
      <c r="E2953" t="s">
        <v>116</v>
      </c>
      <c r="F2953" t="s">
        <v>117</v>
      </c>
      <c r="H2953" t="s">
        <v>759</v>
      </c>
      <c r="I2953" t="str">
        <f>"101050002005904"</f>
        <v>101050002005904</v>
      </c>
      <c r="J2953" t="str">
        <f t="shared" si="559"/>
        <v>0800</v>
      </c>
      <c r="K2953" t="s">
        <v>26</v>
      </c>
      <c r="L2953">
        <v>49</v>
      </c>
      <c r="M2953">
        <v>49</v>
      </c>
      <c r="N2953">
        <v>0</v>
      </c>
      <c r="O2953" s="1">
        <v>45582.312094907407</v>
      </c>
      <c r="P2953" t="s">
        <v>392</v>
      </c>
    </row>
    <row r="2954" spans="1:16" x14ac:dyDescent="0.3">
      <c r="A2954" t="s">
        <v>25</v>
      </c>
      <c r="B2954" s="1">
        <v>45582.312094907407</v>
      </c>
      <c r="C2954" t="str">
        <f t="shared" si="558"/>
        <v>41</v>
      </c>
      <c r="D2954" t="s">
        <v>120</v>
      </c>
      <c r="E2954" t="s">
        <v>116</v>
      </c>
      <c r="F2954" t="s">
        <v>117</v>
      </c>
      <c r="H2954" t="s">
        <v>759</v>
      </c>
      <c r="I2954" t="str">
        <f>"101050002006532"</f>
        <v>101050002006532</v>
      </c>
      <c r="J2954" t="str">
        <f t="shared" si="559"/>
        <v>0800</v>
      </c>
      <c r="K2954" t="s">
        <v>26</v>
      </c>
      <c r="L2954">
        <v>49</v>
      </c>
      <c r="M2954">
        <v>49</v>
      </c>
      <c r="N2954">
        <v>0</v>
      </c>
      <c r="O2954" s="1">
        <v>45582.312094907407</v>
      </c>
      <c r="P2954" t="s">
        <v>392</v>
      </c>
    </row>
    <row r="2955" spans="1:16" x14ac:dyDescent="0.3">
      <c r="A2955" t="s">
        <v>25</v>
      </c>
      <c r="B2955" s="1">
        <v>45582.312094907407</v>
      </c>
      <c r="C2955" t="str">
        <f t="shared" si="558"/>
        <v>41</v>
      </c>
      <c r="D2955" t="s">
        <v>120</v>
      </c>
      <c r="E2955" t="s">
        <v>116</v>
      </c>
      <c r="F2955" t="s">
        <v>117</v>
      </c>
      <c r="H2955" t="s">
        <v>759</v>
      </c>
      <c r="I2955" t="str">
        <f>"101050002005903"</f>
        <v>101050002005903</v>
      </c>
      <c r="J2955" t="str">
        <f t="shared" si="559"/>
        <v>0800</v>
      </c>
      <c r="K2955" t="s">
        <v>26</v>
      </c>
      <c r="L2955">
        <v>49</v>
      </c>
      <c r="M2955">
        <v>49</v>
      </c>
      <c r="N2955">
        <v>0</v>
      </c>
      <c r="O2955" s="1">
        <v>45582.312094907407</v>
      </c>
      <c r="P2955" t="s">
        <v>392</v>
      </c>
    </row>
    <row r="2956" spans="1:16" x14ac:dyDescent="0.3">
      <c r="A2956" t="s">
        <v>25</v>
      </c>
      <c r="B2956" s="1">
        <v>45582.312094907407</v>
      </c>
      <c r="C2956" t="str">
        <f t="shared" si="558"/>
        <v>41</v>
      </c>
      <c r="D2956" t="s">
        <v>120</v>
      </c>
      <c r="E2956" t="s">
        <v>116</v>
      </c>
      <c r="F2956" t="s">
        <v>117</v>
      </c>
      <c r="H2956" t="s">
        <v>759</v>
      </c>
      <c r="I2956" t="str">
        <f>"101050002006530"</f>
        <v>101050002006530</v>
      </c>
      <c r="J2956" t="str">
        <f t="shared" si="559"/>
        <v>0800</v>
      </c>
      <c r="K2956" t="s">
        <v>26</v>
      </c>
      <c r="L2956">
        <v>49</v>
      </c>
      <c r="M2956">
        <v>49</v>
      </c>
      <c r="N2956">
        <v>0</v>
      </c>
      <c r="O2956" s="1">
        <v>45582.312094907407</v>
      </c>
      <c r="P2956" t="s">
        <v>392</v>
      </c>
    </row>
    <row r="2957" spans="1:16" x14ac:dyDescent="0.3">
      <c r="A2957" t="s">
        <v>25</v>
      </c>
      <c r="B2957" s="1">
        <v>45582.312083333331</v>
      </c>
      <c r="C2957" t="str">
        <f t="shared" si="558"/>
        <v>41</v>
      </c>
      <c r="D2957" t="s">
        <v>120</v>
      </c>
      <c r="E2957" t="s">
        <v>116</v>
      </c>
      <c r="F2957" t="s">
        <v>117</v>
      </c>
      <c r="H2957" t="s">
        <v>759</v>
      </c>
      <c r="I2957" t="str">
        <f>"101050002006411"</f>
        <v>101050002006411</v>
      </c>
      <c r="J2957" t="str">
        <f t="shared" si="559"/>
        <v>0800</v>
      </c>
      <c r="K2957" t="s">
        <v>26</v>
      </c>
      <c r="L2957">
        <v>49</v>
      </c>
      <c r="M2957">
        <v>49</v>
      </c>
      <c r="N2957">
        <v>0</v>
      </c>
      <c r="O2957" s="1">
        <v>45582.312083333331</v>
      </c>
      <c r="P2957" t="s">
        <v>392</v>
      </c>
    </row>
    <row r="2958" spans="1:16" x14ac:dyDescent="0.3">
      <c r="A2958" t="s">
        <v>25</v>
      </c>
      <c r="B2958" s="1">
        <v>45582.311874999999</v>
      </c>
      <c r="C2958" t="str">
        <f>"38"</f>
        <v>38</v>
      </c>
      <c r="D2958" t="s">
        <v>115</v>
      </c>
      <c r="E2958" t="s">
        <v>116</v>
      </c>
      <c r="F2958" t="s">
        <v>117</v>
      </c>
      <c r="H2958" t="s">
        <v>760</v>
      </c>
      <c r="L2958">
        <v>0</v>
      </c>
      <c r="M2958">
        <v>0</v>
      </c>
      <c r="N2958">
        <v>0</v>
      </c>
      <c r="O2958" s="1">
        <v>45582.311874999999</v>
      </c>
      <c r="P2958" t="s">
        <v>138</v>
      </c>
    </row>
    <row r="2959" spans="1:16" x14ac:dyDescent="0.3">
      <c r="A2959" t="s">
        <v>25</v>
      </c>
      <c r="B2959" s="1">
        <v>45582.311423611114</v>
      </c>
      <c r="C2959" t="str">
        <f>"38"</f>
        <v>38</v>
      </c>
      <c r="D2959" t="s">
        <v>115</v>
      </c>
      <c r="E2959" t="s">
        <v>116</v>
      </c>
      <c r="F2959" t="s">
        <v>117</v>
      </c>
      <c r="H2959" t="s">
        <v>761</v>
      </c>
      <c r="L2959">
        <v>0</v>
      </c>
      <c r="M2959">
        <v>0</v>
      </c>
      <c r="N2959">
        <v>0</v>
      </c>
      <c r="O2959" s="1">
        <v>45582.311423611114</v>
      </c>
      <c r="P2959" t="s">
        <v>138</v>
      </c>
    </row>
    <row r="2960" spans="1:16" x14ac:dyDescent="0.3">
      <c r="A2960" t="s">
        <v>25</v>
      </c>
      <c r="B2960" s="1">
        <v>45582.311423611114</v>
      </c>
      <c r="C2960" t="str">
        <f t="shared" ref="C2960:C2966" si="560">"41"</f>
        <v>41</v>
      </c>
      <c r="D2960" t="s">
        <v>120</v>
      </c>
      <c r="E2960" t="s">
        <v>116</v>
      </c>
      <c r="F2960" t="s">
        <v>117</v>
      </c>
      <c r="H2960" t="s">
        <v>761</v>
      </c>
      <c r="I2960" t="str">
        <f>"101050001991096"</f>
        <v>101050001991096</v>
      </c>
      <c r="J2960" t="str">
        <f t="shared" ref="J2960:J2966" si="561">"124239"</f>
        <v>124239</v>
      </c>
      <c r="K2960" t="s">
        <v>32</v>
      </c>
      <c r="L2960">
        <v>91</v>
      </c>
      <c r="M2960">
        <v>91</v>
      </c>
      <c r="N2960">
        <v>0</v>
      </c>
      <c r="O2960" s="1">
        <v>45582.311423611114</v>
      </c>
      <c r="P2960" t="s">
        <v>138</v>
      </c>
    </row>
    <row r="2961" spans="1:16" x14ac:dyDescent="0.3">
      <c r="A2961" t="s">
        <v>25</v>
      </c>
      <c r="B2961" s="1">
        <v>45582.311412037037</v>
      </c>
      <c r="C2961" t="str">
        <f t="shared" si="560"/>
        <v>41</v>
      </c>
      <c r="D2961" t="s">
        <v>120</v>
      </c>
      <c r="E2961" t="s">
        <v>116</v>
      </c>
      <c r="F2961" t="s">
        <v>117</v>
      </c>
      <c r="H2961" t="s">
        <v>761</v>
      </c>
      <c r="I2961" t="str">
        <f>"101050001991370"</f>
        <v>101050001991370</v>
      </c>
      <c r="J2961" t="str">
        <f t="shared" si="561"/>
        <v>124239</v>
      </c>
      <c r="K2961" t="s">
        <v>32</v>
      </c>
      <c r="L2961">
        <v>91</v>
      </c>
      <c r="M2961">
        <v>91</v>
      </c>
      <c r="N2961">
        <v>0</v>
      </c>
      <c r="O2961" s="1">
        <v>45582.311412037037</v>
      </c>
      <c r="P2961" t="s">
        <v>138</v>
      </c>
    </row>
    <row r="2962" spans="1:16" x14ac:dyDescent="0.3">
      <c r="A2962" t="s">
        <v>25</v>
      </c>
      <c r="B2962" s="1">
        <v>45582.311412037037</v>
      </c>
      <c r="C2962" t="str">
        <f t="shared" si="560"/>
        <v>41</v>
      </c>
      <c r="D2962" t="s">
        <v>120</v>
      </c>
      <c r="E2962" t="s">
        <v>116</v>
      </c>
      <c r="F2962" t="s">
        <v>117</v>
      </c>
      <c r="H2962" t="s">
        <v>761</v>
      </c>
      <c r="I2962" t="str">
        <f>"101050001991094"</f>
        <v>101050001991094</v>
      </c>
      <c r="J2962" t="str">
        <f t="shared" si="561"/>
        <v>124239</v>
      </c>
      <c r="K2962" t="s">
        <v>32</v>
      </c>
      <c r="L2962">
        <v>91</v>
      </c>
      <c r="M2962">
        <v>91</v>
      </c>
      <c r="N2962">
        <v>0</v>
      </c>
      <c r="O2962" s="1">
        <v>45582.311412037037</v>
      </c>
      <c r="P2962" t="s">
        <v>138</v>
      </c>
    </row>
    <row r="2963" spans="1:16" x14ac:dyDescent="0.3">
      <c r="A2963" t="s">
        <v>25</v>
      </c>
      <c r="B2963" s="1">
        <v>45582.311412037037</v>
      </c>
      <c r="C2963" t="str">
        <f t="shared" si="560"/>
        <v>41</v>
      </c>
      <c r="D2963" t="s">
        <v>120</v>
      </c>
      <c r="E2963" t="s">
        <v>116</v>
      </c>
      <c r="F2963" t="s">
        <v>117</v>
      </c>
      <c r="H2963" t="s">
        <v>761</v>
      </c>
      <c r="I2963" t="str">
        <f>"101050001991371"</f>
        <v>101050001991371</v>
      </c>
      <c r="J2963" t="str">
        <f t="shared" si="561"/>
        <v>124239</v>
      </c>
      <c r="K2963" t="s">
        <v>32</v>
      </c>
      <c r="L2963">
        <v>91</v>
      </c>
      <c r="M2963">
        <v>91</v>
      </c>
      <c r="N2963">
        <v>0</v>
      </c>
      <c r="O2963" s="1">
        <v>45582.311412037037</v>
      </c>
      <c r="P2963" t="s">
        <v>138</v>
      </c>
    </row>
    <row r="2964" spans="1:16" x14ac:dyDescent="0.3">
      <c r="A2964" t="s">
        <v>25</v>
      </c>
      <c r="B2964" s="1">
        <v>45582.311412037037</v>
      </c>
      <c r="C2964" t="str">
        <f t="shared" si="560"/>
        <v>41</v>
      </c>
      <c r="D2964" t="s">
        <v>120</v>
      </c>
      <c r="E2964" t="s">
        <v>116</v>
      </c>
      <c r="F2964" t="s">
        <v>117</v>
      </c>
      <c r="H2964" t="s">
        <v>761</v>
      </c>
      <c r="I2964" t="str">
        <f>"101050001991097"</f>
        <v>101050001991097</v>
      </c>
      <c r="J2964" t="str">
        <f t="shared" si="561"/>
        <v>124239</v>
      </c>
      <c r="K2964" t="s">
        <v>32</v>
      </c>
      <c r="L2964">
        <v>91</v>
      </c>
      <c r="M2964">
        <v>91</v>
      </c>
      <c r="N2964">
        <v>0</v>
      </c>
      <c r="O2964" s="1">
        <v>45582.311412037037</v>
      </c>
      <c r="P2964" t="s">
        <v>138</v>
      </c>
    </row>
    <row r="2965" spans="1:16" x14ac:dyDescent="0.3">
      <c r="A2965" t="s">
        <v>25</v>
      </c>
      <c r="B2965" s="1">
        <v>45582.311412037037</v>
      </c>
      <c r="C2965" t="str">
        <f t="shared" si="560"/>
        <v>41</v>
      </c>
      <c r="D2965" t="s">
        <v>120</v>
      </c>
      <c r="E2965" t="s">
        <v>116</v>
      </c>
      <c r="F2965" t="s">
        <v>117</v>
      </c>
      <c r="H2965" t="s">
        <v>761</v>
      </c>
      <c r="I2965" t="str">
        <f>"101050001990643"</f>
        <v>101050001990643</v>
      </c>
      <c r="J2965" t="str">
        <f t="shared" si="561"/>
        <v>124239</v>
      </c>
      <c r="K2965" t="s">
        <v>32</v>
      </c>
      <c r="L2965">
        <v>91</v>
      </c>
      <c r="M2965">
        <v>91</v>
      </c>
      <c r="N2965">
        <v>0</v>
      </c>
      <c r="O2965" s="1">
        <v>45582.311412037037</v>
      </c>
      <c r="P2965" t="s">
        <v>138</v>
      </c>
    </row>
    <row r="2966" spans="1:16" x14ac:dyDescent="0.3">
      <c r="A2966" t="s">
        <v>25</v>
      </c>
      <c r="B2966" s="1">
        <v>45582.311412037037</v>
      </c>
      <c r="C2966" t="str">
        <f t="shared" si="560"/>
        <v>41</v>
      </c>
      <c r="D2966" t="s">
        <v>120</v>
      </c>
      <c r="E2966" t="s">
        <v>116</v>
      </c>
      <c r="F2966" t="s">
        <v>117</v>
      </c>
      <c r="H2966" t="s">
        <v>761</v>
      </c>
      <c r="I2966" t="str">
        <f>"101050001991095"</f>
        <v>101050001991095</v>
      </c>
      <c r="J2966" t="str">
        <f t="shared" si="561"/>
        <v>124239</v>
      </c>
      <c r="K2966" t="s">
        <v>32</v>
      </c>
      <c r="L2966">
        <v>91</v>
      </c>
      <c r="M2966">
        <v>91</v>
      </c>
      <c r="N2966">
        <v>0</v>
      </c>
      <c r="O2966" s="1">
        <v>45582.311412037037</v>
      </c>
      <c r="P2966" t="s">
        <v>138</v>
      </c>
    </row>
    <row r="2967" spans="1:16" x14ac:dyDescent="0.3">
      <c r="A2967" t="s">
        <v>25</v>
      </c>
      <c r="B2967" s="1">
        <v>45582.309444444443</v>
      </c>
      <c r="C2967" t="str">
        <f>"38"</f>
        <v>38</v>
      </c>
      <c r="D2967" t="s">
        <v>115</v>
      </c>
      <c r="E2967" t="s">
        <v>116</v>
      </c>
      <c r="F2967" t="s">
        <v>117</v>
      </c>
      <c r="H2967" t="s">
        <v>762</v>
      </c>
      <c r="L2967">
        <v>0</v>
      </c>
      <c r="M2967">
        <v>0</v>
      </c>
      <c r="N2967">
        <v>0</v>
      </c>
      <c r="O2967" s="1">
        <v>45582.309444444443</v>
      </c>
      <c r="P2967" t="s">
        <v>392</v>
      </c>
    </row>
    <row r="2968" spans="1:16" x14ac:dyDescent="0.3">
      <c r="A2968" t="s">
        <v>25</v>
      </c>
      <c r="B2968" s="1">
        <v>45582.309444444443</v>
      </c>
      <c r="C2968" t="str">
        <f>"41"</f>
        <v>41</v>
      </c>
      <c r="D2968" t="s">
        <v>120</v>
      </c>
      <c r="E2968" t="s">
        <v>116</v>
      </c>
      <c r="F2968" t="s">
        <v>117</v>
      </c>
      <c r="H2968" t="s">
        <v>762</v>
      </c>
      <c r="I2968" t="str">
        <f>"101050001991584"</f>
        <v>101050001991584</v>
      </c>
      <c r="J2968" t="str">
        <f>"124239"</f>
        <v>124239</v>
      </c>
      <c r="K2968" t="s">
        <v>32</v>
      </c>
      <c r="L2968">
        <v>91</v>
      </c>
      <c r="M2968">
        <v>91</v>
      </c>
      <c r="N2968">
        <v>0</v>
      </c>
      <c r="O2968" s="1">
        <v>45582.309444444443</v>
      </c>
      <c r="P2968" t="s">
        <v>392</v>
      </c>
    </row>
    <row r="2969" spans="1:16" x14ac:dyDescent="0.3">
      <c r="A2969" t="s">
        <v>25</v>
      </c>
      <c r="B2969" s="1">
        <v>45582.327465277776</v>
      </c>
      <c r="C2969" t="str">
        <f>"38"</f>
        <v>38</v>
      </c>
      <c r="D2969" t="s">
        <v>115</v>
      </c>
      <c r="E2969" t="s">
        <v>116</v>
      </c>
      <c r="F2969" t="s">
        <v>117</v>
      </c>
      <c r="H2969" t="s">
        <v>740</v>
      </c>
      <c r="L2969">
        <v>0</v>
      </c>
      <c r="M2969">
        <v>0</v>
      </c>
      <c r="N2969">
        <v>0</v>
      </c>
      <c r="O2969" s="1">
        <v>45582.327465277776</v>
      </c>
      <c r="P2969" t="s">
        <v>122</v>
      </c>
    </row>
    <row r="2970" spans="1:16" x14ac:dyDescent="0.3">
      <c r="A2970" t="s">
        <v>25</v>
      </c>
      <c r="B2970" s="1">
        <v>45582.327465277776</v>
      </c>
      <c r="C2970" t="str">
        <f t="shared" ref="C2970:C2976" si="562">"41"</f>
        <v>41</v>
      </c>
      <c r="D2970" t="s">
        <v>120</v>
      </c>
      <c r="E2970" t="s">
        <v>116</v>
      </c>
      <c r="F2970" t="s">
        <v>117</v>
      </c>
      <c r="H2970" t="s">
        <v>740</v>
      </c>
      <c r="I2970" t="str">
        <f>"101050001911581"</f>
        <v>101050001911581</v>
      </c>
      <c r="J2970" t="str">
        <f t="shared" ref="J2970:J2976" si="563">"125192"</f>
        <v>125192</v>
      </c>
      <c r="K2970" t="s">
        <v>42</v>
      </c>
      <c r="L2970">
        <v>49</v>
      </c>
      <c r="M2970">
        <v>49</v>
      </c>
      <c r="N2970">
        <v>0</v>
      </c>
      <c r="O2970" s="1">
        <v>45582.327465277776</v>
      </c>
      <c r="P2970" t="s">
        <v>122</v>
      </c>
    </row>
    <row r="2971" spans="1:16" x14ac:dyDescent="0.3">
      <c r="A2971" t="s">
        <v>25</v>
      </c>
      <c r="B2971" s="1">
        <v>45582.327465277776</v>
      </c>
      <c r="C2971" t="str">
        <f t="shared" si="562"/>
        <v>41</v>
      </c>
      <c r="D2971" t="s">
        <v>120</v>
      </c>
      <c r="E2971" t="s">
        <v>116</v>
      </c>
      <c r="F2971" t="s">
        <v>117</v>
      </c>
      <c r="H2971" t="s">
        <v>740</v>
      </c>
      <c r="I2971" t="str">
        <f>"101050001911580"</f>
        <v>101050001911580</v>
      </c>
      <c r="J2971" t="str">
        <f t="shared" si="563"/>
        <v>125192</v>
      </c>
      <c r="K2971" t="s">
        <v>42</v>
      </c>
      <c r="L2971">
        <v>49</v>
      </c>
      <c r="M2971">
        <v>49</v>
      </c>
      <c r="N2971">
        <v>0</v>
      </c>
      <c r="O2971" s="1">
        <v>45582.327465277776</v>
      </c>
      <c r="P2971" t="s">
        <v>122</v>
      </c>
    </row>
    <row r="2972" spans="1:16" x14ac:dyDescent="0.3">
      <c r="A2972" t="s">
        <v>25</v>
      </c>
      <c r="B2972" s="1">
        <v>45582.327465277776</v>
      </c>
      <c r="C2972" t="str">
        <f t="shared" si="562"/>
        <v>41</v>
      </c>
      <c r="D2972" t="s">
        <v>120</v>
      </c>
      <c r="E2972" t="s">
        <v>116</v>
      </c>
      <c r="F2972" t="s">
        <v>117</v>
      </c>
      <c r="H2972" t="s">
        <v>740</v>
      </c>
      <c r="I2972" t="str">
        <f>"101050001911327"</f>
        <v>101050001911327</v>
      </c>
      <c r="J2972" t="str">
        <f t="shared" si="563"/>
        <v>125192</v>
      </c>
      <c r="K2972" t="s">
        <v>42</v>
      </c>
      <c r="L2972">
        <v>49</v>
      </c>
      <c r="M2972">
        <v>49</v>
      </c>
      <c r="N2972">
        <v>0</v>
      </c>
      <c r="O2972" s="1">
        <v>45582.327465277776</v>
      </c>
      <c r="P2972" t="s">
        <v>122</v>
      </c>
    </row>
    <row r="2973" spans="1:16" x14ac:dyDescent="0.3">
      <c r="A2973" t="s">
        <v>25</v>
      </c>
      <c r="B2973" s="1">
        <v>45582.327453703707</v>
      </c>
      <c r="C2973" t="str">
        <f t="shared" si="562"/>
        <v>41</v>
      </c>
      <c r="D2973" t="s">
        <v>120</v>
      </c>
      <c r="E2973" t="s">
        <v>116</v>
      </c>
      <c r="F2973" t="s">
        <v>117</v>
      </c>
      <c r="H2973" t="s">
        <v>740</v>
      </c>
      <c r="I2973" t="str">
        <f>"101050001911326"</f>
        <v>101050001911326</v>
      </c>
      <c r="J2973" t="str">
        <f t="shared" si="563"/>
        <v>125192</v>
      </c>
      <c r="K2973" t="s">
        <v>42</v>
      </c>
      <c r="L2973">
        <v>49</v>
      </c>
      <c r="M2973">
        <v>49</v>
      </c>
      <c r="N2973">
        <v>0</v>
      </c>
      <c r="O2973" s="1">
        <v>45582.327453703707</v>
      </c>
      <c r="P2973" t="s">
        <v>122</v>
      </c>
    </row>
    <row r="2974" spans="1:16" x14ac:dyDescent="0.3">
      <c r="A2974" t="s">
        <v>25</v>
      </c>
      <c r="B2974" s="1">
        <v>45582.327453703707</v>
      </c>
      <c r="C2974" t="str">
        <f t="shared" si="562"/>
        <v>41</v>
      </c>
      <c r="D2974" t="s">
        <v>120</v>
      </c>
      <c r="E2974" t="s">
        <v>116</v>
      </c>
      <c r="F2974" t="s">
        <v>117</v>
      </c>
      <c r="H2974" t="s">
        <v>740</v>
      </c>
      <c r="I2974" t="str">
        <f>"101050001911262"</f>
        <v>101050001911262</v>
      </c>
      <c r="J2974" t="str">
        <f t="shared" si="563"/>
        <v>125192</v>
      </c>
      <c r="K2974" t="s">
        <v>42</v>
      </c>
      <c r="L2974">
        <v>49</v>
      </c>
      <c r="M2974">
        <v>49</v>
      </c>
      <c r="N2974">
        <v>0</v>
      </c>
      <c r="O2974" s="1">
        <v>45582.327453703707</v>
      </c>
      <c r="P2974" t="s">
        <v>122</v>
      </c>
    </row>
    <row r="2975" spans="1:16" x14ac:dyDescent="0.3">
      <c r="A2975" t="s">
        <v>25</v>
      </c>
      <c r="B2975" s="1">
        <v>45582.327453703707</v>
      </c>
      <c r="C2975" t="str">
        <f t="shared" si="562"/>
        <v>41</v>
      </c>
      <c r="D2975" t="s">
        <v>120</v>
      </c>
      <c r="E2975" t="s">
        <v>116</v>
      </c>
      <c r="F2975" t="s">
        <v>117</v>
      </c>
      <c r="H2975" t="s">
        <v>740</v>
      </c>
      <c r="I2975" t="str">
        <f>"101050001911261"</f>
        <v>101050001911261</v>
      </c>
      <c r="J2975" t="str">
        <f t="shared" si="563"/>
        <v>125192</v>
      </c>
      <c r="K2975" t="s">
        <v>42</v>
      </c>
      <c r="L2975">
        <v>49</v>
      </c>
      <c r="M2975">
        <v>49</v>
      </c>
      <c r="N2975">
        <v>0</v>
      </c>
      <c r="O2975" s="1">
        <v>45582.327453703707</v>
      </c>
      <c r="P2975" t="s">
        <v>122</v>
      </c>
    </row>
    <row r="2976" spans="1:16" x14ac:dyDescent="0.3">
      <c r="A2976" t="s">
        <v>25</v>
      </c>
      <c r="B2976" s="1">
        <v>45582.327453703707</v>
      </c>
      <c r="C2976" t="str">
        <f t="shared" si="562"/>
        <v>41</v>
      </c>
      <c r="D2976" t="s">
        <v>120</v>
      </c>
      <c r="E2976" t="s">
        <v>116</v>
      </c>
      <c r="F2976" t="s">
        <v>117</v>
      </c>
      <c r="H2976" t="s">
        <v>740</v>
      </c>
      <c r="I2976" t="str">
        <f>"101050001911257"</f>
        <v>101050001911257</v>
      </c>
      <c r="J2976" t="str">
        <f t="shared" si="563"/>
        <v>125192</v>
      </c>
      <c r="K2976" t="s">
        <v>42</v>
      </c>
      <c r="L2976">
        <v>49</v>
      </c>
      <c r="M2976">
        <v>49</v>
      </c>
      <c r="N2976">
        <v>0</v>
      </c>
      <c r="O2976" s="1">
        <v>45582.327453703707</v>
      </c>
      <c r="P2976" t="s">
        <v>122</v>
      </c>
    </row>
    <row r="2977" spans="1:16" x14ac:dyDescent="0.3">
      <c r="A2977" t="s">
        <v>25</v>
      </c>
      <c r="B2977" s="1">
        <v>45582.32240740741</v>
      </c>
      <c r="C2977" t="str">
        <f>"38"</f>
        <v>38</v>
      </c>
      <c r="D2977" t="s">
        <v>115</v>
      </c>
      <c r="E2977" t="s">
        <v>116</v>
      </c>
      <c r="F2977" t="s">
        <v>117</v>
      </c>
      <c r="H2977" t="s">
        <v>743</v>
      </c>
      <c r="L2977">
        <v>0</v>
      </c>
      <c r="M2977">
        <v>0</v>
      </c>
      <c r="N2977">
        <v>0</v>
      </c>
      <c r="O2977" s="1">
        <v>45582.32240740741</v>
      </c>
      <c r="P2977" t="s">
        <v>122</v>
      </c>
    </row>
    <row r="2978" spans="1:16" x14ac:dyDescent="0.3">
      <c r="A2978" t="s">
        <v>25</v>
      </c>
      <c r="B2978" s="1">
        <v>45582.32240740741</v>
      </c>
      <c r="C2978" t="str">
        <f t="shared" ref="C2978:C2983" si="564">"41"</f>
        <v>41</v>
      </c>
      <c r="D2978" t="s">
        <v>120</v>
      </c>
      <c r="E2978" t="s">
        <v>116</v>
      </c>
      <c r="F2978" t="s">
        <v>117</v>
      </c>
      <c r="H2978" t="s">
        <v>743</v>
      </c>
      <c r="I2978" t="str">
        <f>"101050002006813"</f>
        <v>101050002006813</v>
      </c>
      <c r="J2978" t="str">
        <f t="shared" ref="J2978:J2983" si="565">"123051"</f>
        <v>123051</v>
      </c>
      <c r="K2978" t="s">
        <v>27</v>
      </c>
      <c r="L2978">
        <v>49</v>
      </c>
      <c r="M2978">
        <v>49</v>
      </c>
      <c r="N2978">
        <v>0</v>
      </c>
      <c r="O2978" s="1">
        <v>45582.32240740741</v>
      </c>
      <c r="P2978" t="s">
        <v>122</v>
      </c>
    </row>
    <row r="2979" spans="1:16" x14ac:dyDescent="0.3">
      <c r="A2979" t="s">
        <v>25</v>
      </c>
      <c r="B2979" s="1">
        <v>45582.32240740741</v>
      </c>
      <c r="C2979" t="str">
        <f t="shared" si="564"/>
        <v>41</v>
      </c>
      <c r="D2979" t="s">
        <v>120</v>
      </c>
      <c r="E2979" t="s">
        <v>116</v>
      </c>
      <c r="F2979" t="s">
        <v>117</v>
      </c>
      <c r="H2979" t="s">
        <v>743</v>
      </c>
      <c r="I2979" t="str">
        <f>"101050002006812"</f>
        <v>101050002006812</v>
      </c>
      <c r="J2979" t="str">
        <f t="shared" si="565"/>
        <v>123051</v>
      </c>
      <c r="K2979" t="s">
        <v>27</v>
      </c>
      <c r="L2979">
        <v>49</v>
      </c>
      <c r="M2979">
        <v>49</v>
      </c>
      <c r="N2979">
        <v>0</v>
      </c>
      <c r="O2979" s="1">
        <v>45582.32240740741</v>
      </c>
      <c r="P2979" t="s">
        <v>122</v>
      </c>
    </row>
    <row r="2980" spans="1:16" x14ac:dyDescent="0.3">
      <c r="A2980" t="s">
        <v>25</v>
      </c>
      <c r="B2980" s="1">
        <v>45582.32240740741</v>
      </c>
      <c r="C2980" t="str">
        <f t="shared" si="564"/>
        <v>41</v>
      </c>
      <c r="D2980" t="s">
        <v>120</v>
      </c>
      <c r="E2980" t="s">
        <v>116</v>
      </c>
      <c r="F2980" t="s">
        <v>117</v>
      </c>
      <c r="H2980" t="s">
        <v>743</v>
      </c>
      <c r="I2980" t="str">
        <f>"101050002006811"</f>
        <v>101050002006811</v>
      </c>
      <c r="J2980" t="str">
        <f t="shared" si="565"/>
        <v>123051</v>
      </c>
      <c r="K2980" t="s">
        <v>27</v>
      </c>
      <c r="L2980">
        <v>49</v>
      </c>
      <c r="M2980">
        <v>49</v>
      </c>
      <c r="N2980">
        <v>0</v>
      </c>
      <c r="O2980" s="1">
        <v>45582.32240740741</v>
      </c>
      <c r="P2980" t="s">
        <v>122</v>
      </c>
    </row>
    <row r="2981" spans="1:16" x14ac:dyDescent="0.3">
      <c r="A2981" t="s">
        <v>25</v>
      </c>
      <c r="B2981" s="1">
        <v>45582.322395833333</v>
      </c>
      <c r="C2981" t="str">
        <f t="shared" si="564"/>
        <v>41</v>
      </c>
      <c r="D2981" t="s">
        <v>120</v>
      </c>
      <c r="E2981" t="s">
        <v>116</v>
      </c>
      <c r="F2981" t="s">
        <v>117</v>
      </c>
      <c r="H2981" t="s">
        <v>743</v>
      </c>
      <c r="I2981" t="str">
        <f>"101050002006810"</f>
        <v>101050002006810</v>
      </c>
      <c r="J2981" t="str">
        <f t="shared" si="565"/>
        <v>123051</v>
      </c>
      <c r="K2981" t="s">
        <v>27</v>
      </c>
      <c r="L2981">
        <v>49</v>
      </c>
      <c r="M2981">
        <v>49</v>
      </c>
      <c r="N2981">
        <v>0</v>
      </c>
      <c r="O2981" s="1">
        <v>45582.322395833333</v>
      </c>
      <c r="P2981" t="s">
        <v>122</v>
      </c>
    </row>
    <row r="2982" spans="1:16" x14ac:dyDescent="0.3">
      <c r="A2982" t="s">
        <v>25</v>
      </c>
      <c r="B2982" s="1">
        <v>45582.322395833333</v>
      </c>
      <c r="C2982" t="str">
        <f t="shared" si="564"/>
        <v>41</v>
      </c>
      <c r="D2982" t="s">
        <v>120</v>
      </c>
      <c r="E2982" t="s">
        <v>116</v>
      </c>
      <c r="F2982" t="s">
        <v>117</v>
      </c>
      <c r="H2982" t="s">
        <v>743</v>
      </c>
      <c r="I2982" t="str">
        <f>"101050002006372"</f>
        <v>101050002006372</v>
      </c>
      <c r="J2982" t="str">
        <f t="shared" si="565"/>
        <v>123051</v>
      </c>
      <c r="K2982" t="s">
        <v>27</v>
      </c>
      <c r="L2982">
        <v>49</v>
      </c>
      <c r="M2982">
        <v>49</v>
      </c>
      <c r="N2982">
        <v>0</v>
      </c>
      <c r="O2982" s="1">
        <v>45582.322395833333</v>
      </c>
      <c r="P2982" t="s">
        <v>122</v>
      </c>
    </row>
    <row r="2983" spans="1:16" x14ac:dyDescent="0.3">
      <c r="A2983" t="s">
        <v>25</v>
      </c>
      <c r="B2983" s="1">
        <v>45582.322395833333</v>
      </c>
      <c r="C2983" t="str">
        <f t="shared" si="564"/>
        <v>41</v>
      </c>
      <c r="D2983" t="s">
        <v>120</v>
      </c>
      <c r="E2983" t="s">
        <v>116</v>
      </c>
      <c r="F2983" t="s">
        <v>117</v>
      </c>
      <c r="H2983" t="s">
        <v>743</v>
      </c>
      <c r="I2983" t="str">
        <f>"101050002006631"</f>
        <v>101050002006631</v>
      </c>
      <c r="J2983" t="str">
        <f t="shared" si="565"/>
        <v>123051</v>
      </c>
      <c r="K2983" t="s">
        <v>27</v>
      </c>
      <c r="L2983">
        <v>49</v>
      </c>
      <c r="M2983">
        <v>49</v>
      </c>
      <c r="N2983">
        <v>0</v>
      </c>
      <c r="O2983" s="1">
        <v>45582.322395833333</v>
      </c>
      <c r="P2983" t="s">
        <v>122</v>
      </c>
    </row>
    <row r="2984" spans="1:16" x14ac:dyDescent="0.3">
      <c r="A2984" t="s">
        <v>25</v>
      </c>
      <c r="B2984" s="1">
        <v>45582.317754629628</v>
      </c>
      <c r="C2984" t="str">
        <f>"38"</f>
        <v>38</v>
      </c>
      <c r="D2984" t="s">
        <v>115</v>
      </c>
      <c r="E2984" t="s">
        <v>116</v>
      </c>
      <c r="F2984" t="s">
        <v>117</v>
      </c>
      <c r="H2984" t="s">
        <v>763</v>
      </c>
      <c r="L2984">
        <v>0</v>
      </c>
      <c r="M2984">
        <v>0</v>
      </c>
      <c r="N2984">
        <v>0</v>
      </c>
      <c r="O2984" s="1">
        <v>45582.317754629628</v>
      </c>
      <c r="P2984" t="s">
        <v>122</v>
      </c>
    </row>
    <row r="2985" spans="1:16" x14ac:dyDescent="0.3">
      <c r="A2985" t="s">
        <v>25</v>
      </c>
      <c r="B2985" s="1">
        <v>45582.317754629628</v>
      </c>
      <c r="C2985" t="str">
        <f t="shared" ref="C2985:C2991" si="566">"41"</f>
        <v>41</v>
      </c>
      <c r="D2985" t="s">
        <v>120</v>
      </c>
      <c r="E2985" t="s">
        <v>116</v>
      </c>
      <c r="F2985" t="s">
        <v>117</v>
      </c>
      <c r="H2985" t="s">
        <v>763</v>
      </c>
      <c r="I2985" t="str">
        <f>"101050002003957"</f>
        <v>101050002003957</v>
      </c>
      <c r="J2985" t="str">
        <f t="shared" ref="J2985:J2991" si="567">"126471"</f>
        <v>126471</v>
      </c>
      <c r="K2985" t="s">
        <v>45</v>
      </c>
      <c r="L2985">
        <v>49</v>
      </c>
      <c r="M2985">
        <v>49</v>
      </c>
      <c r="N2985">
        <v>0</v>
      </c>
      <c r="O2985" s="1">
        <v>45582.317754629628</v>
      </c>
      <c r="P2985" t="s">
        <v>122</v>
      </c>
    </row>
    <row r="2986" spans="1:16" x14ac:dyDescent="0.3">
      <c r="A2986" t="s">
        <v>25</v>
      </c>
      <c r="B2986" s="1">
        <v>45582.317754629628</v>
      </c>
      <c r="C2986" t="str">
        <f t="shared" si="566"/>
        <v>41</v>
      </c>
      <c r="D2986" t="s">
        <v>120</v>
      </c>
      <c r="E2986" t="s">
        <v>116</v>
      </c>
      <c r="F2986" t="s">
        <v>117</v>
      </c>
      <c r="H2986" t="s">
        <v>763</v>
      </c>
      <c r="I2986" t="str">
        <f>"101050002003640"</f>
        <v>101050002003640</v>
      </c>
      <c r="J2986" t="str">
        <f t="shared" si="567"/>
        <v>126471</v>
      </c>
      <c r="K2986" t="s">
        <v>45</v>
      </c>
      <c r="L2986">
        <v>49</v>
      </c>
      <c r="M2986">
        <v>49</v>
      </c>
      <c r="N2986">
        <v>0</v>
      </c>
      <c r="O2986" s="1">
        <v>45582.317754629628</v>
      </c>
      <c r="P2986" t="s">
        <v>122</v>
      </c>
    </row>
    <row r="2987" spans="1:16" x14ac:dyDescent="0.3">
      <c r="A2987" t="s">
        <v>25</v>
      </c>
      <c r="B2987" s="1">
        <v>45582.317754629628</v>
      </c>
      <c r="C2987" t="str">
        <f t="shared" si="566"/>
        <v>41</v>
      </c>
      <c r="D2987" t="s">
        <v>120</v>
      </c>
      <c r="E2987" t="s">
        <v>116</v>
      </c>
      <c r="F2987" t="s">
        <v>117</v>
      </c>
      <c r="H2987" t="s">
        <v>763</v>
      </c>
      <c r="I2987" t="str">
        <f>"101050002004650"</f>
        <v>101050002004650</v>
      </c>
      <c r="J2987" t="str">
        <f t="shared" si="567"/>
        <v>126471</v>
      </c>
      <c r="K2987" t="s">
        <v>45</v>
      </c>
      <c r="L2987">
        <v>49</v>
      </c>
      <c r="M2987">
        <v>49</v>
      </c>
      <c r="N2987">
        <v>0</v>
      </c>
      <c r="O2987" s="1">
        <v>45582.317754629628</v>
      </c>
      <c r="P2987" t="s">
        <v>122</v>
      </c>
    </row>
    <row r="2988" spans="1:16" x14ac:dyDescent="0.3">
      <c r="A2988" t="s">
        <v>25</v>
      </c>
      <c r="B2988" s="1">
        <v>45582.317754629628</v>
      </c>
      <c r="C2988" t="str">
        <f t="shared" si="566"/>
        <v>41</v>
      </c>
      <c r="D2988" t="s">
        <v>120</v>
      </c>
      <c r="E2988" t="s">
        <v>116</v>
      </c>
      <c r="F2988" t="s">
        <v>117</v>
      </c>
      <c r="H2988" t="s">
        <v>763</v>
      </c>
      <c r="I2988" t="str">
        <f>"101050002003195"</f>
        <v>101050002003195</v>
      </c>
      <c r="J2988" t="str">
        <f t="shared" si="567"/>
        <v>126471</v>
      </c>
      <c r="K2988" t="s">
        <v>45</v>
      </c>
      <c r="L2988">
        <v>49</v>
      </c>
      <c r="M2988">
        <v>49</v>
      </c>
      <c r="N2988">
        <v>0</v>
      </c>
      <c r="O2988" s="1">
        <v>45582.317754629628</v>
      </c>
      <c r="P2988" t="s">
        <v>122</v>
      </c>
    </row>
    <row r="2989" spans="1:16" x14ac:dyDescent="0.3">
      <c r="A2989" t="s">
        <v>25</v>
      </c>
      <c r="B2989" s="1">
        <v>45582.317743055559</v>
      </c>
      <c r="C2989" t="str">
        <f t="shared" si="566"/>
        <v>41</v>
      </c>
      <c r="D2989" t="s">
        <v>120</v>
      </c>
      <c r="E2989" t="s">
        <v>116</v>
      </c>
      <c r="F2989" t="s">
        <v>117</v>
      </c>
      <c r="H2989" t="s">
        <v>763</v>
      </c>
      <c r="I2989" t="str">
        <f>"101050002004651"</f>
        <v>101050002004651</v>
      </c>
      <c r="J2989" t="str">
        <f t="shared" si="567"/>
        <v>126471</v>
      </c>
      <c r="K2989" t="s">
        <v>45</v>
      </c>
      <c r="L2989">
        <v>49</v>
      </c>
      <c r="M2989">
        <v>49</v>
      </c>
      <c r="N2989">
        <v>0</v>
      </c>
      <c r="O2989" s="1">
        <v>45582.317743055559</v>
      </c>
      <c r="P2989" t="s">
        <v>122</v>
      </c>
    </row>
    <row r="2990" spans="1:16" x14ac:dyDescent="0.3">
      <c r="A2990" t="s">
        <v>25</v>
      </c>
      <c r="B2990" s="1">
        <v>45582.317743055559</v>
      </c>
      <c r="C2990" t="str">
        <f t="shared" si="566"/>
        <v>41</v>
      </c>
      <c r="D2990" t="s">
        <v>120</v>
      </c>
      <c r="E2990" t="s">
        <v>116</v>
      </c>
      <c r="F2990" t="s">
        <v>117</v>
      </c>
      <c r="H2990" t="s">
        <v>763</v>
      </c>
      <c r="I2990" t="str">
        <f>"101050002004107"</f>
        <v>101050002004107</v>
      </c>
      <c r="J2990" t="str">
        <f t="shared" si="567"/>
        <v>126471</v>
      </c>
      <c r="K2990" t="s">
        <v>45</v>
      </c>
      <c r="L2990">
        <v>49</v>
      </c>
      <c r="M2990">
        <v>49</v>
      </c>
      <c r="N2990">
        <v>0</v>
      </c>
      <c r="O2990" s="1">
        <v>45582.317743055559</v>
      </c>
      <c r="P2990" t="s">
        <v>122</v>
      </c>
    </row>
    <row r="2991" spans="1:16" x14ac:dyDescent="0.3">
      <c r="A2991" t="s">
        <v>25</v>
      </c>
      <c r="B2991" s="1">
        <v>45582.317743055559</v>
      </c>
      <c r="C2991" t="str">
        <f t="shared" si="566"/>
        <v>41</v>
      </c>
      <c r="D2991" t="s">
        <v>120</v>
      </c>
      <c r="E2991" t="s">
        <v>116</v>
      </c>
      <c r="F2991" t="s">
        <v>117</v>
      </c>
      <c r="H2991" t="s">
        <v>763</v>
      </c>
      <c r="I2991" t="str">
        <f>"101050002003877"</f>
        <v>101050002003877</v>
      </c>
      <c r="J2991" t="str">
        <f t="shared" si="567"/>
        <v>126471</v>
      </c>
      <c r="K2991" t="s">
        <v>45</v>
      </c>
      <c r="L2991">
        <v>49</v>
      </c>
      <c r="M2991">
        <v>49</v>
      </c>
      <c r="N2991">
        <v>0</v>
      </c>
      <c r="O2991" s="1">
        <v>45582.317743055559</v>
      </c>
      <c r="P2991" t="s">
        <v>122</v>
      </c>
    </row>
    <row r="2992" spans="1:16" x14ac:dyDescent="0.3">
      <c r="A2992" t="s">
        <v>25</v>
      </c>
      <c r="B2992" s="1">
        <v>45582.317106481481</v>
      </c>
      <c r="C2992" t="str">
        <f>"38"</f>
        <v>38</v>
      </c>
      <c r="D2992" t="s">
        <v>115</v>
      </c>
      <c r="E2992" t="s">
        <v>116</v>
      </c>
      <c r="F2992" t="s">
        <v>117</v>
      </c>
      <c r="H2992" t="s">
        <v>764</v>
      </c>
      <c r="L2992">
        <v>0</v>
      </c>
      <c r="M2992">
        <v>0</v>
      </c>
      <c r="N2992">
        <v>0</v>
      </c>
      <c r="O2992" s="1">
        <v>45582.317106481481</v>
      </c>
      <c r="P2992" t="s">
        <v>122</v>
      </c>
    </row>
    <row r="2993" spans="1:16" x14ac:dyDescent="0.3">
      <c r="A2993" t="s">
        <v>25</v>
      </c>
      <c r="B2993" s="1">
        <v>45582.317106481481</v>
      </c>
      <c r="C2993" t="str">
        <f>"41"</f>
        <v>41</v>
      </c>
      <c r="D2993" t="s">
        <v>120</v>
      </c>
      <c r="E2993" t="s">
        <v>116</v>
      </c>
      <c r="F2993" t="s">
        <v>117</v>
      </c>
      <c r="H2993" t="s">
        <v>764</v>
      </c>
      <c r="I2993" t="str">
        <f>"101050001974411"</f>
        <v>101050001974411</v>
      </c>
      <c r="J2993" t="str">
        <f>"514568"</f>
        <v>514568</v>
      </c>
      <c r="K2993" t="s">
        <v>87</v>
      </c>
      <c r="L2993">
        <v>49</v>
      </c>
      <c r="M2993">
        <v>49</v>
      </c>
      <c r="N2993">
        <v>0</v>
      </c>
      <c r="O2993" s="1">
        <v>45582.317106481481</v>
      </c>
      <c r="P2993" t="s">
        <v>122</v>
      </c>
    </row>
    <row r="2994" spans="1:16" x14ac:dyDescent="0.3">
      <c r="A2994" t="s">
        <v>25</v>
      </c>
      <c r="B2994" s="1">
        <v>45582.315787037034</v>
      </c>
      <c r="C2994" t="str">
        <f>"38"</f>
        <v>38</v>
      </c>
      <c r="D2994" t="s">
        <v>115</v>
      </c>
      <c r="E2994" t="s">
        <v>116</v>
      </c>
      <c r="F2994" t="s">
        <v>117</v>
      </c>
      <c r="H2994" t="s">
        <v>765</v>
      </c>
      <c r="L2994">
        <v>0</v>
      </c>
      <c r="M2994">
        <v>0</v>
      </c>
      <c r="N2994">
        <v>0</v>
      </c>
      <c r="O2994" s="1">
        <v>45582.315787037034</v>
      </c>
      <c r="P2994" t="s">
        <v>122</v>
      </c>
    </row>
    <row r="2995" spans="1:16" x14ac:dyDescent="0.3">
      <c r="A2995" t="s">
        <v>25</v>
      </c>
      <c r="B2995" s="1">
        <v>45582.315706018519</v>
      </c>
      <c r="C2995" t="str">
        <f>"38"</f>
        <v>38</v>
      </c>
      <c r="D2995" t="s">
        <v>115</v>
      </c>
      <c r="E2995" t="s">
        <v>116</v>
      </c>
      <c r="F2995" t="s">
        <v>117</v>
      </c>
      <c r="H2995" t="s">
        <v>766</v>
      </c>
      <c r="L2995">
        <v>0</v>
      </c>
      <c r="M2995">
        <v>0</v>
      </c>
      <c r="N2995">
        <v>0</v>
      </c>
      <c r="O2995" s="1">
        <v>45582.315706018519</v>
      </c>
      <c r="P2995" t="s">
        <v>122</v>
      </c>
    </row>
    <row r="2996" spans="1:16" x14ac:dyDescent="0.3">
      <c r="A2996" t="s">
        <v>25</v>
      </c>
      <c r="B2996" s="1">
        <v>45582.315706018519</v>
      </c>
      <c r="C2996" t="str">
        <f>"41"</f>
        <v>41</v>
      </c>
      <c r="D2996" t="s">
        <v>120</v>
      </c>
      <c r="E2996" t="s">
        <v>116</v>
      </c>
      <c r="F2996" t="s">
        <v>117</v>
      </c>
      <c r="H2996" t="s">
        <v>766</v>
      </c>
      <c r="I2996" t="str">
        <f>"101050002017211"</f>
        <v>101050002017211</v>
      </c>
      <c r="J2996" t="str">
        <f>"126471"</f>
        <v>126471</v>
      </c>
      <c r="K2996" t="s">
        <v>45</v>
      </c>
      <c r="L2996">
        <v>49</v>
      </c>
      <c r="M2996">
        <v>49</v>
      </c>
      <c r="N2996">
        <v>0</v>
      </c>
      <c r="O2996" s="1">
        <v>45582.315706018519</v>
      </c>
      <c r="P2996" t="s">
        <v>122</v>
      </c>
    </row>
    <row r="2997" spans="1:16" x14ac:dyDescent="0.3">
      <c r="A2997" t="s">
        <v>25</v>
      </c>
      <c r="B2997" s="1">
        <v>45582.315706018519</v>
      </c>
      <c r="C2997" t="str">
        <f>"41"</f>
        <v>41</v>
      </c>
      <c r="D2997" t="s">
        <v>120</v>
      </c>
      <c r="E2997" t="s">
        <v>116</v>
      </c>
      <c r="F2997" t="s">
        <v>117</v>
      </c>
      <c r="H2997" t="s">
        <v>766</v>
      </c>
      <c r="I2997" t="str">
        <f>"101050002017497"</f>
        <v>101050002017497</v>
      </c>
      <c r="J2997" t="str">
        <f>"126471"</f>
        <v>126471</v>
      </c>
      <c r="K2997" t="s">
        <v>45</v>
      </c>
      <c r="L2997">
        <v>49</v>
      </c>
      <c r="M2997">
        <v>49</v>
      </c>
      <c r="N2997">
        <v>0</v>
      </c>
      <c r="O2997" s="1">
        <v>45582.315706018519</v>
      </c>
      <c r="P2997" t="s">
        <v>122</v>
      </c>
    </row>
    <row r="2998" spans="1:16" x14ac:dyDescent="0.3">
      <c r="A2998" t="s">
        <v>25</v>
      </c>
      <c r="B2998" s="1">
        <v>45582.315706018519</v>
      </c>
      <c r="C2998" t="str">
        <f>"41"</f>
        <v>41</v>
      </c>
      <c r="D2998" t="s">
        <v>120</v>
      </c>
      <c r="E2998" t="s">
        <v>116</v>
      </c>
      <c r="F2998" t="s">
        <v>117</v>
      </c>
      <c r="H2998" t="s">
        <v>766</v>
      </c>
      <c r="I2998" t="str">
        <f>"101050002017483"</f>
        <v>101050002017483</v>
      </c>
      <c r="J2998" t="str">
        <f>"126471"</f>
        <v>126471</v>
      </c>
      <c r="K2998" t="s">
        <v>45</v>
      </c>
      <c r="L2998">
        <v>49</v>
      </c>
      <c r="M2998">
        <v>49</v>
      </c>
      <c r="N2998">
        <v>0</v>
      </c>
      <c r="O2998" s="1">
        <v>45582.315706018519</v>
      </c>
      <c r="P2998" t="s">
        <v>122</v>
      </c>
    </row>
    <row r="2999" spans="1:16" x14ac:dyDescent="0.3">
      <c r="A2999" t="s">
        <v>25</v>
      </c>
      <c r="B2999" s="1">
        <v>45582.315208333333</v>
      </c>
      <c r="C2999" t="str">
        <f>"38"</f>
        <v>38</v>
      </c>
      <c r="D2999" t="s">
        <v>115</v>
      </c>
      <c r="E2999" t="s">
        <v>116</v>
      </c>
      <c r="F2999" t="s">
        <v>117</v>
      </c>
      <c r="H2999" t="s">
        <v>767</v>
      </c>
      <c r="L2999">
        <v>0</v>
      </c>
      <c r="M2999">
        <v>0</v>
      </c>
      <c r="N2999">
        <v>0</v>
      </c>
      <c r="O2999" s="1">
        <v>45582.315208333333</v>
      </c>
      <c r="P2999" t="s">
        <v>122</v>
      </c>
    </row>
    <row r="3000" spans="1:16" x14ac:dyDescent="0.3">
      <c r="A3000" t="s">
        <v>25</v>
      </c>
      <c r="B3000" s="1">
        <v>45582.315208333333</v>
      </c>
      <c r="C3000" t="str">
        <f t="shared" ref="C3000:C3006" si="568">"41"</f>
        <v>41</v>
      </c>
      <c r="D3000" t="s">
        <v>120</v>
      </c>
      <c r="E3000" t="s">
        <v>116</v>
      </c>
      <c r="F3000" t="s">
        <v>117</v>
      </c>
      <c r="H3000" t="s">
        <v>767</v>
      </c>
      <c r="I3000" t="str">
        <f>"101620000458164"</f>
        <v>101620000458164</v>
      </c>
      <c r="J3000" t="str">
        <f t="shared" ref="J3000:J3006" si="569">"514866"</f>
        <v>514866</v>
      </c>
      <c r="K3000" t="s">
        <v>14</v>
      </c>
      <c r="L3000">
        <v>49</v>
      </c>
      <c r="M3000">
        <v>49</v>
      </c>
      <c r="N3000">
        <v>0</v>
      </c>
      <c r="O3000" s="1">
        <v>45582.315208333333</v>
      </c>
      <c r="P3000" t="s">
        <v>122</v>
      </c>
    </row>
    <row r="3001" spans="1:16" x14ac:dyDescent="0.3">
      <c r="A3001" t="s">
        <v>25</v>
      </c>
      <c r="B3001" s="1">
        <v>45582.315208333333</v>
      </c>
      <c r="C3001" t="str">
        <f t="shared" si="568"/>
        <v>41</v>
      </c>
      <c r="D3001" t="s">
        <v>120</v>
      </c>
      <c r="E3001" t="s">
        <v>116</v>
      </c>
      <c r="F3001" t="s">
        <v>117</v>
      </c>
      <c r="H3001" t="s">
        <v>767</v>
      </c>
      <c r="I3001" t="str">
        <f>"101620000458163"</f>
        <v>101620000458163</v>
      </c>
      <c r="J3001" t="str">
        <f t="shared" si="569"/>
        <v>514866</v>
      </c>
      <c r="K3001" t="s">
        <v>14</v>
      </c>
      <c r="L3001">
        <v>49</v>
      </c>
      <c r="M3001">
        <v>49</v>
      </c>
      <c r="N3001">
        <v>0</v>
      </c>
      <c r="O3001" s="1">
        <v>45582.315208333333</v>
      </c>
      <c r="P3001" t="s">
        <v>122</v>
      </c>
    </row>
    <row r="3002" spans="1:16" x14ac:dyDescent="0.3">
      <c r="A3002" t="s">
        <v>25</v>
      </c>
      <c r="B3002" s="1">
        <v>45582.315208333333</v>
      </c>
      <c r="C3002" t="str">
        <f t="shared" si="568"/>
        <v>41</v>
      </c>
      <c r="D3002" t="s">
        <v>120</v>
      </c>
      <c r="E3002" t="s">
        <v>116</v>
      </c>
      <c r="F3002" t="s">
        <v>117</v>
      </c>
      <c r="H3002" t="s">
        <v>767</v>
      </c>
      <c r="I3002" t="str">
        <f>"101620000457950"</f>
        <v>101620000457950</v>
      </c>
      <c r="J3002" t="str">
        <f t="shared" si="569"/>
        <v>514866</v>
      </c>
      <c r="K3002" t="s">
        <v>14</v>
      </c>
      <c r="L3002">
        <v>49</v>
      </c>
      <c r="M3002">
        <v>49</v>
      </c>
      <c r="N3002">
        <v>0</v>
      </c>
      <c r="O3002" s="1">
        <v>45582.315208333333</v>
      </c>
      <c r="P3002" t="s">
        <v>122</v>
      </c>
    </row>
    <row r="3003" spans="1:16" x14ac:dyDescent="0.3">
      <c r="A3003" t="s">
        <v>25</v>
      </c>
      <c r="B3003" s="1">
        <v>45582.315196759257</v>
      </c>
      <c r="C3003" t="str">
        <f t="shared" si="568"/>
        <v>41</v>
      </c>
      <c r="D3003" t="s">
        <v>120</v>
      </c>
      <c r="E3003" t="s">
        <v>116</v>
      </c>
      <c r="F3003" t="s">
        <v>117</v>
      </c>
      <c r="H3003" t="s">
        <v>767</v>
      </c>
      <c r="I3003" t="str">
        <f>"101050002024501"</f>
        <v>101050002024501</v>
      </c>
      <c r="J3003" t="str">
        <f t="shared" si="569"/>
        <v>514866</v>
      </c>
      <c r="K3003" t="s">
        <v>14</v>
      </c>
      <c r="L3003">
        <v>49</v>
      </c>
      <c r="M3003">
        <v>49</v>
      </c>
      <c r="N3003">
        <v>0</v>
      </c>
      <c r="O3003" s="1">
        <v>45582.315196759257</v>
      </c>
      <c r="P3003" t="s">
        <v>122</v>
      </c>
    </row>
    <row r="3004" spans="1:16" x14ac:dyDescent="0.3">
      <c r="A3004" t="s">
        <v>25</v>
      </c>
      <c r="B3004" s="1">
        <v>45582.315196759257</v>
      </c>
      <c r="C3004" t="str">
        <f t="shared" si="568"/>
        <v>41</v>
      </c>
      <c r="D3004" t="s">
        <v>120</v>
      </c>
      <c r="E3004" t="s">
        <v>116</v>
      </c>
      <c r="F3004" t="s">
        <v>117</v>
      </c>
      <c r="H3004" t="s">
        <v>767</v>
      </c>
      <c r="I3004" t="str">
        <f>"101050002024479"</f>
        <v>101050002024479</v>
      </c>
      <c r="J3004" t="str">
        <f t="shared" si="569"/>
        <v>514866</v>
      </c>
      <c r="K3004" t="s">
        <v>14</v>
      </c>
      <c r="L3004">
        <v>49</v>
      </c>
      <c r="M3004">
        <v>49</v>
      </c>
      <c r="N3004">
        <v>0</v>
      </c>
      <c r="O3004" s="1">
        <v>45582.315196759257</v>
      </c>
      <c r="P3004" t="s">
        <v>122</v>
      </c>
    </row>
    <row r="3005" spans="1:16" x14ac:dyDescent="0.3">
      <c r="A3005" t="s">
        <v>25</v>
      </c>
      <c r="B3005" s="1">
        <v>45582.315196759257</v>
      </c>
      <c r="C3005" t="str">
        <f t="shared" si="568"/>
        <v>41</v>
      </c>
      <c r="D3005" t="s">
        <v>120</v>
      </c>
      <c r="E3005" t="s">
        <v>116</v>
      </c>
      <c r="F3005" t="s">
        <v>117</v>
      </c>
      <c r="H3005" t="s">
        <v>767</v>
      </c>
      <c r="I3005" t="str">
        <f>"101050002024315"</f>
        <v>101050002024315</v>
      </c>
      <c r="J3005" t="str">
        <f t="shared" si="569"/>
        <v>514866</v>
      </c>
      <c r="K3005" t="s">
        <v>14</v>
      </c>
      <c r="L3005">
        <v>49</v>
      </c>
      <c r="M3005">
        <v>49</v>
      </c>
      <c r="N3005">
        <v>0</v>
      </c>
      <c r="O3005" s="1">
        <v>45582.315196759257</v>
      </c>
      <c r="P3005" t="s">
        <v>122</v>
      </c>
    </row>
    <row r="3006" spans="1:16" x14ac:dyDescent="0.3">
      <c r="A3006" t="s">
        <v>25</v>
      </c>
      <c r="B3006" s="1">
        <v>45582.315196759257</v>
      </c>
      <c r="C3006" t="str">
        <f t="shared" si="568"/>
        <v>41</v>
      </c>
      <c r="D3006" t="s">
        <v>120</v>
      </c>
      <c r="E3006" t="s">
        <v>116</v>
      </c>
      <c r="F3006" t="s">
        <v>117</v>
      </c>
      <c r="H3006" t="s">
        <v>767</v>
      </c>
      <c r="I3006" t="str">
        <f>"101050002017441"</f>
        <v>101050002017441</v>
      </c>
      <c r="J3006" t="str">
        <f t="shared" si="569"/>
        <v>514866</v>
      </c>
      <c r="K3006" t="s">
        <v>14</v>
      </c>
      <c r="L3006">
        <v>49</v>
      </c>
      <c r="M3006">
        <v>49</v>
      </c>
      <c r="N3006">
        <v>0</v>
      </c>
      <c r="O3006" s="1">
        <v>45582.315196759257</v>
      </c>
      <c r="P3006" t="s">
        <v>122</v>
      </c>
    </row>
    <row r="3007" spans="1:16" x14ac:dyDescent="0.3">
      <c r="A3007" t="s">
        <v>25</v>
      </c>
      <c r="B3007" s="1">
        <v>45582.323518518519</v>
      </c>
      <c r="C3007" t="str">
        <f t="shared" ref="C3007:C3026" si="570">"38"</f>
        <v>38</v>
      </c>
      <c r="D3007" t="s">
        <v>115</v>
      </c>
      <c r="E3007" t="s">
        <v>116</v>
      </c>
      <c r="F3007" t="s">
        <v>117</v>
      </c>
      <c r="H3007" t="s">
        <v>768</v>
      </c>
      <c r="L3007">
        <v>0</v>
      </c>
      <c r="M3007">
        <v>0</v>
      </c>
      <c r="N3007">
        <v>0</v>
      </c>
      <c r="O3007" s="1">
        <v>45582.323518518519</v>
      </c>
      <c r="P3007" t="s">
        <v>119</v>
      </c>
    </row>
    <row r="3008" spans="1:16" x14ac:dyDescent="0.3">
      <c r="A3008" t="s">
        <v>25</v>
      </c>
      <c r="B3008" s="1">
        <v>45582.323275462964</v>
      </c>
      <c r="C3008" t="str">
        <f t="shared" si="570"/>
        <v>38</v>
      </c>
      <c r="D3008" t="s">
        <v>115</v>
      </c>
      <c r="E3008" t="s">
        <v>116</v>
      </c>
      <c r="F3008" t="s">
        <v>117</v>
      </c>
      <c r="H3008" t="s">
        <v>768</v>
      </c>
      <c r="L3008">
        <v>0</v>
      </c>
      <c r="M3008">
        <v>0</v>
      </c>
      <c r="N3008">
        <v>0</v>
      </c>
      <c r="O3008" s="1">
        <v>45582.323275462964</v>
      </c>
      <c r="P3008" t="s">
        <v>119</v>
      </c>
    </row>
    <row r="3009" spans="1:16" x14ac:dyDescent="0.3">
      <c r="A3009" t="s">
        <v>25</v>
      </c>
      <c r="B3009" s="1">
        <v>45582.323229166665</v>
      </c>
      <c r="C3009" t="str">
        <f t="shared" si="570"/>
        <v>38</v>
      </c>
      <c r="D3009" t="s">
        <v>115</v>
      </c>
      <c r="E3009" t="s">
        <v>116</v>
      </c>
      <c r="F3009" t="s">
        <v>117</v>
      </c>
      <c r="H3009" t="s">
        <v>769</v>
      </c>
      <c r="L3009">
        <v>0</v>
      </c>
      <c r="M3009">
        <v>0</v>
      </c>
      <c r="N3009">
        <v>0</v>
      </c>
      <c r="O3009" s="1">
        <v>45582.323229166665</v>
      </c>
      <c r="P3009" t="s">
        <v>119</v>
      </c>
    </row>
    <row r="3010" spans="1:16" x14ac:dyDescent="0.3">
      <c r="A3010" t="s">
        <v>25</v>
      </c>
      <c r="B3010" s="1">
        <v>45582.323194444441</v>
      </c>
      <c r="C3010" t="str">
        <f t="shared" si="570"/>
        <v>38</v>
      </c>
      <c r="D3010" t="s">
        <v>115</v>
      </c>
      <c r="E3010" t="s">
        <v>116</v>
      </c>
      <c r="F3010" t="s">
        <v>117</v>
      </c>
      <c r="H3010" t="s">
        <v>770</v>
      </c>
      <c r="L3010">
        <v>0</v>
      </c>
      <c r="M3010">
        <v>0</v>
      </c>
      <c r="N3010">
        <v>0</v>
      </c>
      <c r="O3010" s="1">
        <v>45582.323194444441</v>
      </c>
      <c r="P3010" t="s">
        <v>119</v>
      </c>
    </row>
    <row r="3011" spans="1:16" x14ac:dyDescent="0.3">
      <c r="A3011" t="s">
        <v>25</v>
      </c>
      <c r="B3011" s="1">
        <v>45582.323148148149</v>
      </c>
      <c r="C3011" t="str">
        <f t="shared" si="570"/>
        <v>38</v>
      </c>
      <c r="D3011" t="s">
        <v>115</v>
      </c>
      <c r="E3011" t="s">
        <v>116</v>
      </c>
      <c r="F3011" t="s">
        <v>117</v>
      </c>
      <c r="H3011" t="s">
        <v>771</v>
      </c>
      <c r="L3011">
        <v>0</v>
      </c>
      <c r="M3011">
        <v>0</v>
      </c>
      <c r="N3011">
        <v>0</v>
      </c>
      <c r="O3011" s="1">
        <v>45582.323148148149</v>
      </c>
      <c r="P3011" t="s">
        <v>119</v>
      </c>
    </row>
    <row r="3012" spans="1:16" x14ac:dyDescent="0.3">
      <c r="A3012" t="s">
        <v>25</v>
      </c>
      <c r="B3012" s="1">
        <v>45582.323101851849</v>
      </c>
      <c r="C3012" t="str">
        <f t="shared" si="570"/>
        <v>38</v>
      </c>
      <c r="D3012" t="s">
        <v>115</v>
      </c>
      <c r="E3012" t="s">
        <v>116</v>
      </c>
      <c r="F3012" t="s">
        <v>117</v>
      </c>
      <c r="H3012" t="s">
        <v>772</v>
      </c>
      <c r="L3012">
        <v>0</v>
      </c>
      <c r="M3012">
        <v>0</v>
      </c>
      <c r="N3012">
        <v>0</v>
      </c>
      <c r="O3012" s="1">
        <v>45582.323101851849</v>
      </c>
      <c r="P3012" t="s">
        <v>119</v>
      </c>
    </row>
    <row r="3013" spans="1:16" x14ac:dyDescent="0.3">
      <c r="A3013" t="s">
        <v>25</v>
      </c>
      <c r="B3013" s="1">
        <v>45582.323067129626</v>
      </c>
      <c r="C3013" t="str">
        <f t="shared" si="570"/>
        <v>38</v>
      </c>
      <c r="D3013" t="s">
        <v>115</v>
      </c>
      <c r="E3013" t="s">
        <v>116</v>
      </c>
      <c r="F3013" t="s">
        <v>117</v>
      </c>
      <c r="H3013" t="s">
        <v>773</v>
      </c>
      <c r="L3013">
        <v>0</v>
      </c>
      <c r="M3013">
        <v>0</v>
      </c>
      <c r="N3013">
        <v>0</v>
      </c>
      <c r="O3013" s="1">
        <v>45582.323067129626</v>
      </c>
      <c r="P3013" t="s">
        <v>119</v>
      </c>
    </row>
    <row r="3014" spans="1:16" x14ac:dyDescent="0.3">
      <c r="A3014" t="s">
        <v>25</v>
      </c>
      <c r="B3014" s="1">
        <v>45582.323020833333</v>
      </c>
      <c r="C3014" t="str">
        <f t="shared" si="570"/>
        <v>38</v>
      </c>
      <c r="D3014" t="s">
        <v>115</v>
      </c>
      <c r="E3014" t="s">
        <v>116</v>
      </c>
      <c r="F3014" t="s">
        <v>117</v>
      </c>
      <c r="H3014" t="s">
        <v>774</v>
      </c>
      <c r="L3014">
        <v>0</v>
      </c>
      <c r="M3014">
        <v>0</v>
      </c>
      <c r="N3014">
        <v>0</v>
      </c>
      <c r="O3014" s="1">
        <v>45582.323020833333</v>
      </c>
      <c r="P3014" t="s">
        <v>119</v>
      </c>
    </row>
    <row r="3015" spans="1:16" x14ac:dyDescent="0.3">
      <c r="A3015" t="s">
        <v>25</v>
      </c>
      <c r="B3015" s="1">
        <v>45582.322974537034</v>
      </c>
      <c r="C3015" t="str">
        <f t="shared" si="570"/>
        <v>38</v>
      </c>
      <c r="D3015" t="s">
        <v>115</v>
      </c>
      <c r="E3015" t="s">
        <v>116</v>
      </c>
      <c r="F3015" t="s">
        <v>117</v>
      </c>
      <c r="H3015" t="s">
        <v>775</v>
      </c>
      <c r="L3015">
        <v>0</v>
      </c>
      <c r="M3015">
        <v>0</v>
      </c>
      <c r="N3015">
        <v>0</v>
      </c>
      <c r="O3015" s="1">
        <v>45582.322974537034</v>
      </c>
      <c r="P3015" t="s">
        <v>119</v>
      </c>
    </row>
    <row r="3016" spans="1:16" x14ac:dyDescent="0.3">
      <c r="A3016" t="s">
        <v>25</v>
      </c>
      <c r="B3016" s="1">
        <v>45582.322928240741</v>
      </c>
      <c r="C3016" t="str">
        <f t="shared" si="570"/>
        <v>38</v>
      </c>
      <c r="D3016" t="s">
        <v>115</v>
      </c>
      <c r="E3016" t="s">
        <v>116</v>
      </c>
      <c r="F3016" t="s">
        <v>117</v>
      </c>
      <c r="H3016" t="s">
        <v>776</v>
      </c>
      <c r="L3016">
        <v>0</v>
      </c>
      <c r="M3016">
        <v>0</v>
      </c>
      <c r="N3016">
        <v>0</v>
      </c>
      <c r="O3016" s="1">
        <v>45582.322928240741</v>
      </c>
      <c r="P3016" t="s">
        <v>119</v>
      </c>
    </row>
    <row r="3017" spans="1:16" x14ac:dyDescent="0.3">
      <c r="A3017" t="s">
        <v>25</v>
      </c>
      <c r="B3017" s="1">
        <v>45582.322847222225</v>
      </c>
      <c r="C3017" t="str">
        <f t="shared" si="570"/>
        <v>38</v>
      </c>
      <c r="D3017" t="s">
        <v>115</v>
      </c>
      <c r="E3017" t="s">
        <v>116</v>
      </c>
      <c r="F3017" t="s">
        <v>117</v>
      </c>
      <c r="H3017" t="s">
        <v>777</v>
      </c>
      <c r="L3017">
        <v>0</v>
      </c>
      <c r="M3017">
        <v>0</v>
      </c>
      <c r="N3017">
        <v>0</v>
      </c>
      <c r="O3017" s="1">
        <v>45582.322847222225</v>
      </c>
      <c r="P3017" t="s">
        <v>119</v>
      </c>
    </row>
    <row r="3018" spans="1:16" x14ac:dyDescent="0.3">
      <c r="A3018" t="s">
        <v>25</v>
      </c>
      <c r="B3018" s="1">
        <v>45582.322789351849</v>
      </c>
      <c r="C3018" t="str">
        <f t="shared" si="570"/>
        <v>38</v>
      </c>
      <c r="D3018" t="s">
        <v>115</v>
      </c>
      <c r="E3018" t="s">
        <v>116</v>
      </c>
      <c r="F3018" t="s">
        <v>117</v>
      </c>
      <c r="H3018" t="s">
        <v>778</v>
      </c>
      <c r="L3018">
        <v>0</v>
      </c>
      <c r="M3018">
        <v>0</v>
      </c>
      <c r="N3018">
        <v>0</v>
      </c>
      <c r="O3018" s="1">
        <v>45582.322789351849</v>
      </c>
      <c r="P3018" t="s">
        <v>119</v>
      </c>
    </row>
    <row r="3019" spans="1:16" x14ac:dyDescent="0.3">
      <c r="A3019" t="s">
        <v>25</v>
      </c>
      <c r="B3019" s="1">
        <v>45582.322708333333</v>
      </c>
      <c r="C3019" t="str">
        <f t="shared" si="570"/>
        <v>38</v>
      </c>
      <c r="D3019" t="s">
        <v>115</v>
      </c>
      <c r="E3019" t="s">
        <v>116</v>
      </c>
      <c r="F3019" t="s">
        <v>117</v>
      </c>
      <c r="H3019" t="s">
        <v>779</v>
      </c>
      <c r="L3019">
        <v>0</v>
      </c>
      <c r="M3019">
        <v>0</v>
      </c>
      <c r="N3019">
        <v>0</v>
      </c>
      <c r="O3019" s="1">
        <v>45582.322708333333</v>
      </c>
      <c r="P3019" t="s">
        <v>119</v>
      </c>
    </row>
    <row r="3020" spans="1:16" x14ac:dyDescent="0.3">
      <c r="A3020" t="s">
        <v>25</v>
      </c>
      <c r="B3020" s="1">
        <v>45582.322650462964</v>
      </c>
      <c r="C3020" t="str">
        <f t="shared" si="570"/>
        <v>38</v>
      </c>
      <c r="D3020" t="s">
        <v>115</v>
      </c>
      <c r="E3020" t="s">
        <v>116</v>
      </c>
      <c r="F3020" t="s">
        <v>117</v>
      </c>
      <c r="H3020" t="s">
        <v>780</v>
      </c>
      <c r="L3020">
        <v>0</v>
      </c>
      <c r="M3020">
        <v>0</v>
      </c>
      <c r="N3020">
        <v>0</v>
      </c>
      <c r="O3020" s="1">
        <v>45582.322650462964</v>
      </c>
      <c r="P3020" t="s">
        <v>119</v>
      </c>
    </row>
    <row r="3021" spans="1:16" x14ac:dyDescent="0.3">
      <c r="A3021" t="s">
        <v>25</v>
      </c>
      <c r="B3021" s="1">
        <v>45582.322604166664</v>
      </c>
      <c r="C3021" t="str">
        <f t="shared" si="570"/>
        <v>38</v>
      </c>
      <c r="D3021" t="s">
        <v>115</v>
      </c>
      <c r="E3021" t="s">
        <v>116</v>
      </c>
      <c r="F3021" t="s">
        <v>117</v>
      </c>
      <c r="H3021" t="s">
        <v>781</v>
      </c>
      <c r="L3021">
        <v>0</v>
      </c>
      <c r="M3021">
        <v>0</v>
      </c>
      <c r="N3021">
        <v>0</v>
      </c>
      <c r="O3021" s="1">
        <v>45582.322604166664</v>
      </c>
      <c r="P3021" t="s">
        <v>119</v>
      </c>
    </row>
    <row r="3022" spans="1:16" x14ac:dyDescent="0.3">
      <c r="A3022" t="s">
        <v>25</v>
      </c>
      <c r="B3022" s="1">
        <v>45582.322546296295</v>
      </c>
      <c r="C3022" t="str">
        <f t="shared" si="570"/>
        <v>38</v>
      </c>
      <c r="D3022" t="s">
        <v>115</v>
      </c>
      <c r="E3022" t="s">
        <v>116</v>
      </c>
      <c r="F3022" t="s">
        <v>117</v>
      </c>
      <c r="H3022" t="s">
        <v>782</v>
      </c>
      <c r="L3022">
        <v>0</v>
      </c>
      <c r="M3022">
        <v>0</v>
      </c>
      <c r="N3022">
        <v>0</v>
      </c>
      <c r="O3022" s="1">
        <v>45582.322546296295</v>
      </c>
      <c r="P3022" t="s">
        <v>119</v>
      </c>
    </row>
    <row r="3023" spans="1:16" x14ac:dyDescent="0.3">
      <c r="A3023" t="s">
        <v>25</v>
      </c>
      <c r="B3023" s="1">
        <v>45582.322476851848</v>
      </c>
      <c r="C3023" t="str">
        <f t="shared" si="570"/>
        <v>38</v>
      </c>
      <c r="D3023" t="s">
        <v>115</v>
      </c>
      <c r="E3023" t="s">
        <v>116</v>
      </c>
      <c r="F3023" t="s">
        <v>117</v>
      </c>
      <c r="H3023" t="s">
        <v>783</v>
      </c>
      <c r="L3023">
        <v>0</v>
      </c>
      <c r="M3023">
        <v>0</v>
      </c>
      <c r="N3023">
        <v>0</v>
      </c>
      <c r="O3023" s="1">
        <v>45582.322476851848</v>
      </c>
      <c r="P3023" t="s">
        <v>119</v>
      </c>
    </row>
    <row r="3024" spans="1:16" x14ac:dyDescent="0.3">
      <c r="A3024" t="s">
        <v>25</v>
      </c>
      <c r="B3024" s="1">
        <v>45582.32236111111</v>
      </c>
      <c r="C3024" t="str">
        <f t="shared" si="570"/>
        <v>38</v>
      </c>
      <c r="D3024" t="s">
        <v>115</v>
      </c>
      <c r="E3024" t="s">
        <v>116</v>
      </c>
      <c r="F3024" t="s">
        <v>117</v>
      </c>
      <c r="H3024" t="s">
        <v>784</v>
      </c>
      <c r="L3024">
        <v>0</v>
      </c>
      <c r="M3024">
        <v>0</v>
      </c>
      <c r="N3024">
        <v>0</v>
      </c>
      <c r="O3024" s="1">
        <v>45582.32236111111</v>
      </c>
      <c r="P3024" t="s">
        <v>119</v>
      </c>
    </row>
    <row r="3025" spans="1:16" x14ac:dyDescent="0.3">
      <c r="A3025" t="s">
        <v>25</v>
      </c>
      <c r="B3025" s="1">
        <v>45582.322314814817</v>
      </c>
      <c r="C3025" t="str">
        <f t="shared" si="570"/>
        <v>38</v>
      </c>
      <c r="D3025" t="s">
        <v>115</v>
      </c>
      <c r="E3025" t="s">
        <v>116</v>
      </c>
      <c r="F3025" t="s">
        <v>117</v>
      </c>
      <c r="H3025" t="s">
        <v>785</v>
      </c>
      <c r="L3025">
        <v>0</v>
      </c>
      <c r="M3025">
        <v>0</v>
      </c>
      <c r="N3025">
        <v>0</v>
      </c>
      <c r="O3025" s="1">
        <v>45582.322314814817</v>
      </c>
      <c r="P3025" t="s">
        <v>119</v>
      </c>
    </row>
    <row r="3026" spans="1:16" x14ac:dyDescent="0.3">
      <c r="A3026" t="s">
        <v>25</v>
      </c>
      <c r="B3026" s="1">
        <v>45582.317696759259</v>
      </c>
      <c r="C3026" t="str">
        <f t="shared" si="570"/>
        <v>38</v>
      </c>
      <c r="D3026" t="s">
        <v>115</v>
      </c>
      <c r="E3026" t="s">
        <v>116</v>
      </c>
      <c r="F3026" t="s">
        <v>117</v>
      </c>
      <c r="H3026" t="s">
        <v>786</v>
      </c>
      <c r="L3026">
        <v>0</v>
      </c>
      <c r="M3026">
        <v>0</v>
      </c>
      <c r="N3026">
        <v>0</v>
      </c>
      <c r="O3026" s="1">
        <v>45582.317696759259</v>
      </c>
      <c r="P3026" t="s">
        <v>119</v>
      </c>
    </row>
    <row r="3027" spans="1:16" x14ac:dyDescent="0.3">
      <c r="A3027" t="s">
        <v>25</v>
      </c>
      <c r="B3027" s="1">
        <v>45582.317696759259</v>
      </c>
      <c r="C3027" t="str">
        <f>"41"</f>
        <v>41</v>
      </c>
      <c r="D3027" t="s">
        <v>120</v>
      </c>
      <c r="E3027" t="s">
        <v>116</v>
      </c>
      <c r="F3027" t="s">
        <v>117</v>
      </c>
      <c r="H3027" t="s">
        <v>786</v>
      </c>
      <c r="I3027" t="str">
        <f>"101050002016053"</f>
        <v>101050002016053</v>
      </c>
      <c r="J3027" t="str">
        <f>"514846"</f>
        <v>514846</v>
      </c>
      <c r="K3027" t="s">
        <v>18</v>
      </c>
      <c r="L3027">
        <v>49</v>
      </c>
      <c r="M3027">
        <v>49</v>
      </c>
      <c r="N3027">
        <v>0</v>
      </c>
      <c r="O3027" s="1">
        <v>45582.317696759259</v>
      </c>
      <c r="P3027" t="s">
        <v>119</v>
      </c>
    </row>
    <row r="3028" spans="1:16" x14ac:dyDescent="0.3">
      <c r="A3028" t="s">
        <v>25</v>
      </c>
      <c r="B3028" s="1">
        <v>45582.317337962966</v>
      </c>
      <c r="C3028" t="str">
        <f>"38"</f>
        <v>38</v>
      </c>
      <c r="D3028" t="s">
        <v>115</v>
      </c>
      <c r="E3028" t="s">
        <v>116</v>
      </c>
      <c r="F3028" t="s">
        <v>117</v>
      </c>
      <c r="H3028" t="s">
        <v>787</v>
      </c>
      <c r="L3028">
        <v>0</v>
      </c>
      <c r="M3028">
        <v>0</v>
      </c>
      <c r="N3028">
        <v>0</v>
      </c>
      <c r="O3028" s="1">
        <v>45582.317337962966</v>
      </c>
      <c r="P3028" t="s">
        <v>119</v>
      </c>
    </row>
    <row r="3029" spans="1:16" x14ac:dyDescent="0.3">
      <c r="A3029" t="s">
        <v>25</v>
      </c>
      <c r="B3029" s="1">
        <v>45582.317337962966</v>
      </c>
      <c r="C3029" t="str">
        <f t="shared" ref="C3029:C3035" si="571">"41"</f>
        <v>41</v>
      </c>
      <c r="D3029" t="s">
        <v>120</v>
      </c>
      <c r="E3029" t="s">
        <v>116</v>
      </c>
      <c r="F3029" t="s">
        <v>117</v>
      </c>
      <c r="H3029" t="s">
        <v>787</v>
      </c>
      <c r="I3029" t="str">
        <f>"101050002025041"</f>
        <v>101050002025041</v>
      </c>
      <c r="J3029" t="str">
        <f t="shared" ref="J3029:J3035" si="572">"514866"</f>
        <v>514866</v>
      </c>
      <c r="K3029" t="s">
        <v>14</v>
      </c>
      <c r="L3029">
        <v>49</v>
      </c>
      <c r="M3029">
        <v>49</v>
      </c>
      <c r="N3029">
        <v>0</v>
      </c>
      <c r="O3029" s="1">
        <v>45582.317337962966</v>
      </c>
      <c r="P3029" t="s">
        <v>119</v>
      </c>
    </row>
    <row r="3030" spans="1:16" x14ac:dyDescent="0.3">
      <c r="A3030" t="s">
        <v>25</v>
      </c>
      <c r="B3030" s="1">
        <v>45582.317337962966</v>
      </c>
      <c r="C3030" t="str">
        <f t="shared" si="571"/>
        <v>41</v>
      </c>
      <c r="D3030" t="s">
        <v>120</v>
      </c>
      <c r="E3030" t="s">
        <v>116</v>
      </c>
      <c r="F3030" t="s">
        <v>117</v>
      </c>
      <c r="H3030" t="s">
        <v>787</v>
      </c>
      <c r="I3030" t="str">
        <f>"101050002024960"</f>
        <v>101050002024960</v>
      </c>
      <c r="J3030" t="str">
        <f t="shared" si="572"/>
        <v>514866</v>
      </c>
      <c r="K3030" t="s">
        <v>14</v>
      </c>
      <c r="L3030">
        <v>49</v>
      </c>
      <c r="M3030">
        <v>49</v>
      </c>
      <c r="N3030">
        <v>0</v>
      </c>
      <c r="O3030" s="1">
        <v>45582.317337962966</v>
      </c>
      <c r="P3030" t="s">
        <v>119</v>
      </c>
    </row>
    <row r="3031" spans="1:16" x14ac:dyDescent="0.3">
      <c r="A3031" t="s">
        <v>25</v>
      </c>
      <c r="B3031" s="1">
        <v>45582.317337962966</v>
      </c>
      <c r="C3031" t="str">
        <f t="shared" si="571"/>
        <v>41</v>
      </c>
      <c r="D3031" t="s">
        <v>120</v>
      </c>
      <c r="E3031" t="s">
        <v>116</v>
      </c>
      <c r="F3031" t="s">
        <v>117</v>
      </c>
      <c r="H3031" t="s">
        <v>787</v>
      </c>
      <c r="I3031" t="str">
        <f>"101050002024923"</f>
        <v>101050002024923</v>
      </c>
      <c r="J3031" t="str">
        <f t="shared" si="572"/>
        <v>514866</v>
      </c>
      <c r="K3031" t="s">
        <v>14</v>
      </c>
      <c r="L3031">
        <v>49</v>
      </c>
      <c r="M3031">
        <v>49</v>
      </c>
      <c r="N3031">
        <v>0</v>
      </c>
      <c r="O3031" s="1">
        <v>45582.317337962966</v>
      </c>
      <c r="P3031" t="s">
        <v>119</v>
      </c>
    </row>
    <row r="3032" spans="1:16" x14ac:dyDescent="0.3">
      <c r="A3032" t="s">
        <v>25</v>
      </c>
      <c r="B3032" s="1">
        <v>45582.317337962966</v>
      </c>
      <c r="C3032" t="str">
        <f t="shared" si="571"/>
        <v>41</v>
      </c>
      <c r="D3032" t="s">
        <v>120</v>
      </c>
      <c r="E3032" t="s">
        <v>116</v>
      </c>
      <c r="F3032" t="s">
        <v>117</v>
      </c>
      <c r="H3032" t="s">
        <v>787</v>
      </c>
      <c r="I3032" t="str">
        <f>"101050002024890"</f>
        <v>101050002024890</v>
      </c>
      <c r="J3032" t="str">
        <f t="shared" si="572"/>
        <v>514866</v>
      </c>
      <c r="K3032" t="s">
        <v>14</v>
      </c>
      <c r="L3032">
        <v>49</v>
      </c>
      <c r="M3032">
        <v>49</v>
      </c>
      <c r="N3032">
        <v>0</v>
      </c>
      <c r="O3032" s="1">
        <v>45582.317337962966</v>
      </c>
      <c r="P3032" t="s">
        <v>119</v>
      </c>
    </row>
    <row r="3033" spans="1:16" x14ac:dyDescent="0.3">
      <c r="A3033" t="s">
        <v>25</v>
      </c>
      <c r="B3033" s="1">
        <v>45582.317337962966</v>
      </c>
      <c r="C3033" t="str">
        <f t="shared" si="571"/>
        <v>41</v>
      </c>
      <c r="D3033" t="s">
        <v>120</v>
      </c>
      <c r="E3033" t="s">
        <v>116</v>
      </c>
      <c r="F3033" t="s">
        <v>117</v>
      </c>
      <c r="H3033" t="s">
        <v>787</v>
      </c>
      <c r="I3033" t="str">
        <f>"101050002025406"</f>
        <v>101050002025406</v>
      </c>
      <c r="J3033" t="str">
        <f t="shared" si="572"/>
        <v>514866</v>
      </c>
      <c r="K3033" t="s">
        <v>14</v>
      </c>
      <c r="L3033">
        <v>49</v>
      </c>
      <c r="M3033">
        <v>49</v>
      </c>
      <c r="N3033">
        <v>0</v>
      </c>
      <c r="O3033" s="1">
        <v>45582.317337962966</v>
      </c>
      <c r="P3033" t="s">
        <v>119</v>
      </c>
    </row>
    <row r="3034" spans="1:16" x14ac:dyDescent="0.3">
      <c r="A3034" t="s">
        <v>25</v>
      </c>
      <c r="B3034" s="1">
        <v>45582.317337962966</v>
      </c>
      <c r="C3034" t="str">
        <f t="shared" si="571"/>
        <v>41</v>
      </c>
      <c r="D3034" t="s">
        <v>120</v>
      </c>
      <c r="E3034" t="s">
        <v>116</v>
      </c>
      <c r="F3034" t="s">
        <v>117</v>
      </c>
      <c r="H3034" t="s">
        <v>787</v>
      </c>
      <c r="I3034" t="str">
        <f>"101050002025033"</f>
        <v>101050002025033</v>
      </c>
      <c r="J3034" t="str">
        <f t="shared" si="572"/>
        <v>514866</v>
      </c>
      <c r="K3034" t="s">
        <v>14</v>
      </c>
      <c r="L3034">
        <v>49</v>
      </c>
      <c r="M3034">
        <v>49</v>
      </c>
      <c r="N3034">
        <v>0</v>
      </c>
      <c r="O3034" s="1">
        <v>45582.317337962966</v>
      </c>
      <c r="P3034" t="s">
        <v>119</v>
      </c>
    </row>
    <row r="3035" spans="1:16" x14ac:dyDescent="0.3">
      <c r="A3035" t="s">
        <v>25</v>
      </c>
      <c r="B3035" s="1">
        <v>45582.317337962966</v>
      </c>
      <c r="C3035" t="str">
        <f t="shared" si="571"/>
        <v>41</v>
      </c>
      <c r="D3035" t="s">
        <v>120</v>
      </c>
      <c r="E3035" t="s">
        <v>116</v>
      </c>
      <c r="F3035" t="s">
        <v>117</v>
      </c>
      <c r="H3035" t="s">
        <v>787</v>
      </c>
      <c r="I3035" t="str">
        <f>"101050002024922"</f>
        <v>101050002024922</v>
      </c>
      <c r="J3035" t="str">
        <f t="shared" si="572"/>
        <v>514866</v>
      </c>
      <c r="K3035" t="s">
        <v>14</v>
      </c>
      <c r="L3035">
        <v>49</v>
      </c>
      <c r="M3035">
        <v>49</v>
      </c>
      <c r="N3035">
        <v>0</v>
      </c>
      <c r="O3035" s="1">
        <v>45582.317337962966</v>
      </c>
      <c r="P3035" t="s">
        <v>119</v>
      </c>
    </row>
    <row r="3036" spans="1:16" x14ac:dyDescent="0.3">
      <c r="A3036" t="s">
        <v>25</v>
      </c>
      <c r="B3036" s="1">
        <v>45582.312222222223</v>
      </c>
      <c r="C3036" t="str">
        <f>"38"</f>
        <v>38</v>
      </c>
      <c r="D3036" t="s">
        <v>115</v>
      </c>
      <c r="E3036" t="s">
        <v>116</v>
      </c>
      <c r="F3036" t="s">
        <v>117</v>
      </c>
      <c r="H3036" t="s">
        <v>788</v>
      </c>
      <c r="L3036">
        <v>0</v>
      </c>
      <c r="M3036">
        <v>0</v>
      </c>
      <c r="N3036">
        <v>0</v>
      </c>
      <c r="O3036" s="1">
        <v>45582.312222222223</v>
      </c>
      <c r="P3036" t="s">
        <v>119</v>
      </c>
    </row>
    <row r="3037" spans="1:16" x14ac:dyDescent="0.3">
      <c r="A3037" t="s">
        <v>25</v>
      </c>
      <c r="B3037" s="1">
        <v>45582.312222222223</v>
      </c>
      <c r="C3037" t="str">
        <f t="shared" ref="C3037:C3043" si="573">"41"</f>
        <v>41</v>
      </c>
      <c r="D3037" t="s">
        <v>120</v>
      </c>
      <c r="E3037" t="s">
        <v>116</v>
      </c>
      <c r="F3037" t="s">
        <v>117</v>
      </c>
      <c r="H3037" t="s">
        <v>788</v>
      </c>
      <c r="I3037" t="str">
        <f>"101620000467652"</f>
        <v>101620000467652</v>
      </c>
      <c r="J3037" t="str">
        <f t="shared" ref="J3037:J3043" si="574">"514867"</f>
        <v>514867</v>
      </c>
      <c r="K3037" t="s">
        <v>16</v>
      </c>
      <c r="L3037">
        <v>49</v>
      </c>
      <c r="M3037">
        <v>49</v>
      </c>
      <c r="N3037">
        <v>0</v>
      </c>
      <c r="O3037" s="1">
        <v>45582.312222222223</v>
      </c>
      <c r="P3037" t="s">
        <v>119</v>
      </c>
    </row>
    <row r="3038" spans="1:16" x14ac:dyDescent="0.3">
      <c r="A3038" t="s">
        <v>25</v>
      </c>
      <c r="B3038" s="1">
        <v>45582.312210648146</v>
      </c>
      <c r="C3038" t="str">
        <f t="shared" si="573"/>
        <v>41</v>
      </c>
      <c r="D3038" t="s">
        <v>120</v>
      </c>
      <c r="E3038" t="s">
        <v>116</v>
      </c>
      <c r="F3038" t="s">
        <v>117</v>
      </c>
      <c r="H3038" t="s">
        <v>788</v>
      </c>
      <c r="I3038" t="str">
        <f>"101620000468182"</f>
        <v>101620000468182</v>
      </c>
      <c r="J3038" t="str">
        <f t="shared" si="574"/>
        <v>514867</v>
      </c>
      <c r="K3038" t="s">
        <v>16</v>
      </c>
      <c r="L3038">
        <v>49</v>
      </c>
      <c r="M3038">
        <v>49</v>
      </c>
      <c r="N3038">
        <v>0</v>
      </c>
      <c r="O3038" s="1">
        <v>45582.312210648146</v>
      </c>
      <c r="P3038" t="s">
        <v>119</v>
      </c>
    </row>
    <row r="3039" spans="1:16" x14ac:dyDescent="0.3">
      <c r="A3039" t="s">
        <v>25</v>
      </c>
      <c r="B3039" s="1">
        <v>45582.312210648146</v>
      </c>
      <c r="C3039" t="str">
        <f t="shared" si="573"/>
        <v>41</v>
      </c>
      <c r="D3039" t="s">
        <v>120</v>
      </c>
      <c r="E3039" t="s">
        <v>116</v>
      </c>
      <c r="F3039" t="s">
        <v>117</v>
      </c>
      <c r="H3039" t="s">
        <v>788</v>
      </c>
      <c r="I3039" t="str">
        <f>"101620000468097"</f>
        <v>101620000468097</v>
      </c>
      <c r="J3039" t="str">
        <f t="shared" si="574"/>
        <v>514867</v>
      </c>
      <c r="K3039" t="s">
        <v>16</v>
      </c>
      <c r="L3039">
        <v>49</v>
      </c>
      <c r="M3039">
        <v>49</v>
      </c>
      <c r="N3039">
        <v>0</v>
      </c>
      <c r="O3039" s="1">
        <v>45582.312210648146</v>
      </c>
      <c r="P3039" t="s">
        <v>119</v>
      </c>
    </row>
    <row r="3040" spans="1:16" x14ac:dyDescent="0.3">
      <c r="A3040" t="s">
        <v>25</v>
      </c>
      <c r="B3040" s="1">
        <v>45582.312210648146</v>
      </c>
      <c r="C3040" t="str">
        <f t="shared" si="573"/>
        <v>41</v>
      </c>
      <c r="D3040" t="s">
        <v>120</v>
      </c>
      <c r="E3040" t="s">
        <v>116</v>
      </c>
      <c r="F3040" t="s">
        <v>117</v>
      </c>
      <c r="H3040" t="s">
        <v>788</v>
      </c>
      <c r="I3040" t="str">
        <f>"101620000467644"</f>
        <v>101620000467644</v>
      </c>
      <c r="J3040" t="str">
        <f t="shared" si="574"/>
        <v>514867</v>
      </c>
      <c r="K3040" t="s">
        <v>16</v>
      </c>
      <c r="L3040">
        <v>49</v>
      </c>
      <c r="M3040">
        <v>49</v>
      </c>
      <c r="N3040">
        <v>0</v>
      </c>
      <c r="O3040" s="1">
        <v>45582.312210648146</v>
      </c>
      <c r="P3040" t="s">
        <v>119</v>
      </c>
    </row>
    <row r="3041" spans="1:16" x14ac:dyDescent="0.3">
      <c r="A3041" t="s">
        <v>25</v>
      </c>
      <c r="B3041" s="1">
        <v>45582.312210648146</v>
      </c>
      <c r="C3041" t="str">
        <f t="shared" si="573"/>
        <v>41</v>
      </c>
      <c r="D3041" t="s">
        <v>120</v>
      </c>
      <c r="E3041" t="s">
        <v>116</v>
      </c>
      <c r="F3041" t="s">
        <v>117</v>
      </c>
      <c r="H3041" t="s">
        <v>788</v>
      </c>
      <c r="I3041" t="str">
        <f>"101620000468136"</f>
        <v>101620000468136</v>
      </c>
      <c r="J3041" t="str">
        <f t="shared" si="574"/>
        <v>514867</v>
      </c>
      <c r="K3041" t="s">
        <v>16</v>
      </c>
      <c r="L3041">
        <v>49</v>
      </c>
      <c r="M3041">
        <v>49</v>
      </c>
      <c r="N3041">
        <v>0</v>
      </c>
      <c r="O3041" s="1">
        <v>45582.312210648146</v>
      </c>
      <c r="P3041" t="s">
        <v>119</v>
      </c>
    </row>
    <row r="3042" spans="1:16" x14ac:dyDescent="0.3">
      <c r="A3042" t="s">
        <v>25</v>
      </c>
      <c r="B3042" s="1">
        <v>45582.312210648146</v>
      </c>
      <c r="C3042" t="str">
        <f t="shared" si="573"/>
        <v>41</v>
      </c>
      <c r="D3042" t="s">
        <v>120</v>
      </c>
      <c r="E3042" t="s">
        <v>116</v>
      </c>
      <c r="F3042" t="s">
        <v>117</v>
      </c>
      <c r="H3042" t="s">
        <v>788</v>
      </c>
      <c r="I3042" t="str">
        <f>"101620000466890"</f>
        <v>101620000466890</v>
      </c>
      <c r="J3042" t="str">
        <f t="shared" si="574"/>
        <v>514867</v>
      </c>
      <c r="K3042" t="s">
        <v>16</v>
      </c>
      <c r="L3042">
        <v>49</v>
      </c>
      <c r="M3042">
        <v>49</v>
      </c>
      <c r="N3042">
        <v>0</v>
      </c>
      <c r="O3042" s="1">
        <v>45582.312210648146</v>
      </c>
      <c r="P3042" t="s">
        <v>119</v>
      </c>
    </row>
    <row r="3043" spans="1:16" x14ac:dyDescent="0.3">
      <c r="A3043" t="s">
        <v>25</v>
      </c>
      <c r="B3043" s="1">
        <v>45582.312210648146</v>
      </c>
      <c r="C3043" t="str">
        <f t="shared" si="573"/>
        <v>41</v>
      </c>
      <c r="D3043" t="s">
        <v>120</v>
      </c>
      <c r="E3043" t="s">
        <v>116</v>
      </c>
      <c r="F3043" t="s">
        <v>117</v>
      </c>
      <c r="H3043" t="s">
        <v>788</v>
      </c>
      <c r="I3043" t="str">
        <f>"101050002016897"</f>
        <v>101050002016897</v>
      </c>
      <c r="J3043" t="str">
        <f t="shared" si="574"/>
        <v>514867</v>
      </c>
      <c r="K3043" t="s">
        <v>16</v>
      </c>
      <c r="L3043">
        <v>49</v>
      </c>
      <c r="M3043">
        <v>49</v>
      </c>
      <c r="N3043">
        <v>0</v>
      </c>
      <c r="O3043" s="1">
        <v>45582.312210648146</v>
      </c>
      <c r="P3043" t="s">
        <v>119</v>
      </c>
    </row>
    <row r="3044" spans="1:16" x14ac:dyDescent="0.3">
      <c r="A3044" t="s">
        <v>25</v>
      </c>
      <c r="B3044" s="1">
        <v>45582.309976851851</v>
      </c>
      <c r="C3044" t="str">
        <f>"38"</f>
        <v>38</v>
      </c>
      <c r="D3044" t="s">
        <v>115</v>
      </c>
      <c r="E3044" t="s">
        <v>116</v>
      </c>
      <c r="F3044" t="s">
        <v>117</v>
      </c>
      <c r="H3044" t="s">
        <v>789</v>
      </c>
      <c r="L3044">
        <v>0</v>
      </c>
      <c r="M3044">
        <v>0</v>
      </c>
      <c r="N3044">
        <v>0</v>
      </c>
      <c r="O3044" s="1">
        <v>45582.309976851851</v>
      </c>
      <c r="P3044" t="s">
        <v>119</v>
      </c>
    </row>
    <row r="3045" spans="1:16" x14ac:dyDescent="0.3">
      <c r="A3045" t="s">
        <v>25</v>
      </c>
      <c r="B3045" s="1">
        <v>45582.309976851851</v>
      </c>
      <c r="C3045" t="str">
        <f>"41"</f>
        <v>41</v>
      </c>
      <c r="D3045" t="s">
        <v>120</v>
      </c>
      <c r="E3045" t="s">
        <v>116</v>
      </c>
      <c r="F3045" t="s">
        <v>117</v>
      </c>
      <c r="H3045" t="s">
        <v>789</v>
      </c>
      <c r="I3045" t="str">
        <f>"101050001986373"</f>
        <v>101050001986373</v>
      </c>
      <c r="J3045" t="str">
        <f>"514913"</f>
        <v>514913</v>
      </c>
      <c r="K3045" t="s">
        <v>93</v>
      </c>
      <c r="L3045">
        <v>91</v>
      </c>
      <c r="M3045">
        <v>91</v>
      </c>
      <c r="N3045">
        <v>0</v>
      </c>
      <c r="O3045" s="1">
        <v>45582.309976851851</v>
      </c>
      <c r="P3045" t="s">
        <v>119</v>
      </c>
    </row>
    <row r="3046" spans="1:16" x14ac:dyDescent="0.3">
      <c r="A3046" t="s">
        <v>25</v>
      </c>
      <c r="B3046" s="1">
        <v>45582.309976851851</v>
      </c>
      <c r="C3046" t="str">
        <f>"41"</f>
        <v>41</v>
      </c>
      <c r="D3046" t="s">
        <v>120</v>
      </c>
      <c r="E3046" t="s">
        <v>116</v>
      </c>
      <c r="F3046" t="s">
        <v>117</v>
      </c>
      <c r="H3046" t="s">
        <v>789</v>
      </c>
      <c r="I3046" t="str">
        <f>"101050001987976"</f>
        <v>101050001987976</v>
      </c>
      <c r="J3046" t="str">
        <f>"514913"</f>
        <v>514913</v>
      </c>
      <c r="K3046" t="s">
        <v>93</v>
      </c>
      <c r="L3046">
        <v>91</v>
      </c>
      <c r="M3046">
        <v>91</v>
      </c>
      <c r="N3046">
        <v>0</v>
      </c>
      <c r="O3046" s="1">
        <v>45582.309976851851</v>
      </c>
      <c r="P3046" t="s">
        <v>119</v>
      </c>
    </row>
    <row r="3047" spans="1:16" x14ac:dyDescent="0.3">
      <c r="A3047" t="s">
        <v>25</v>
      </c>
      <c r="B3047" s="1">
        <v>45582.309976851851</v>
      </c>
      <c r="C3047" t="str">
        <f>"41"</f>
        <v>41</v>
      </c>
      <c r="D3047" t="s">
        <v>120</v>
      </c>
      <c r="E3047" t="s">
        <v>116</v>
      </c>
      <c r="F3047" t="s">
        <v>117</v>
      </c>
      <c r="H3047" t="s">
        <v>789</v>
      </c>
      <c r="I3047" t="str">
        <f>"101050001986875"</f>
        <v>101050001986875</v>
      </c>
      <c r="J3047" t="str">
        <f>"514913"</f>
        <v>514913</v>
      </c>
      <c r="K3047" t="s">
        <v>93</v>
      </c>
      <c r="L3047">
        <v>91</v>
      </c>
      <c r="M3047">
        <v>91</v>
      </c>
      <c r="N3047">
        <v>0</v>
      </c>
      <c r="O3047" s="1">
        <v>45582.309976851851</v>
      </c>
      <c r="P3047" t="s">
        <v>119</v>
      </c>
    </row>
    <row r="3048" spans="1:16" x14ac:dyDescent="0.3">
      <c r="A3048" t="s">
        <v>25</v>
      </c>
      <c r="B3048" s="1">
        <v>45582.309965277775</v>
      </c>
      <c r="C3048" t="str">
        <f>"41"</f>
        <v>41</v>
      </c>
      <c r="D3048" t="s">
        <v>120</v>
      </c>
      <c r="E3048" t="s">
        <v>116</v>
      </c>
      <c r="F3048" t="s">
        <v>117</v>
      </c>
      <c r="H3048" t="s">
        <v>789</v>
      </c>
      <c r="I3048" t="str">
        <f>"101050001986897"</f>
        <v>101050001986897</v>
      </c>
      <c r="J3048" t="str">
        <f>"514913"</f>
        <v>514913</v>
      </c>
      <c r="K3048" t="s">
        <v>93</v>
      </c>
      <c r="L3048">
        <v>91</v>
      </c>
      <c r="M3048">
        <v>91</v>
      </c>
      <c r="N3048">
        <v>0</v>
      </c>
      <c r="O3048" s="1">
        <v>45582.309965277775</v>
      </c>
      <c r="P3048" t="s">
        <v>119</v>
      </c>
    </row>
    <row r="3049" spans="1:16" x14ac:dyDescent="0.3">
      <c r="A3049" t="s">
        <v>25</v>
      </c>
      <c r="B3049" s="1">
        <v>45582.308495370373</v>
      </c>
      <c r="C3049" t="str">
        <f>"38"</f>
        <v>38</v>
      </c>
      <c r="D3049" t="s">
        <v>115</v>
      </c>
      <c r="E3049" t="s">
        <v>116</v>
      </c>
      <c r="F3049" t="s">
        <v>117</v>
      </c>
      <c r="H3049" t="s">
        <v>790</v>
      </c>
      <c r="L3049">
        <v>0</v>
      </c>
      <c r="M3049">
        <v>0</v>
      </c>
      <c r="N3049">
        <v>0</v>
      </c>
      <c r="O3049" s="1">
        <v>45582.308495370373</v>
      </c>
      <c r="P3049" t="s">
        <v>119</v>
      </c>
    </row>
    <row r="3050" spans="1:16" x14ac:dyDescent="0.3">
      <c r="A3050" t="s">
        <v>25</v>
      </c>
      <c r="B3050" s="1">
        <v>45582.308495370373</v>
      </c>
      <c r="C3050" t="str">
        <f>"41"</f>
        <v>41</v>
      </c>
      <c r="D3050" t="s">
        <v>120</v>
      </c>
      <c r="E3050" t="s">
        <v>116</v>
      </c>
      <c r="F3050" t="s">
        <v>117</v>
      </c>
      <c r="H3050" t="s">
        <v>790</v>
      </c>
      <c r="I3050" t="str">
        <f>"101570001106144"</f>
        <v>101570001106144</v>
      </c>
      <c r="J3050" t="str">
        <f>"125031"</f>
        <v>125031</v>
      </c>
      <c r="K3050" t="s">
        <v>38</v>
      </c>
      <c r="L3050">
        <v>49</v>
      </c>
      <c r="M3050">
        <v>49</v>
      </c>
      <c r="N3050">
        <v>0</v>
      </c>
      <c r="O3050" s="1">
        <v>45582.308495370373</v>
      </c>
      <c r="P3050" t="s">
        <v>119</v>
      </c>
    </row>
    <row r="3051" spans="1:16" x14ac:dyDescent="0.3">
      <c r="A3051" t="s">
        <v>25</v>
      </c>
      <c r="B3051" s="1">
        <v>45582.308495370373</v>
      </c>
      <c r="C3051" t="str">
        <f>"41"</f>
        <v>41</v>
      </c>
      <c r="D3051" t="s">
        <v>120</v>
      </c>
      <c r="E3051" t="s">
        <v>116</v>
      </c>
      <c r="F3051" t="s">
        <v>117</v>
      </c>
      <c r="H3051" t="s">
        <v>790</v>
      </c>
      <c r="I3051" t="str">
        <f>"101570001106147"</f>
        <v>101570001106147</v>
      </c>
      <c r="J3051" t="str">
        <f>"125031"</f>
        <v>125031</v>
      </c>
      <c r="K3051" t="s">
        <v>38</v>
      </c>
      <c r="L3051">
        <v>49</v>
      </c>
      <c r="M3051">
        <v>49</v>
      </c>
      <c r="N3051">
        <v>0</v>
      </c>
      <c r="O3051" s="1">
        <v>45582.308495370373</v>
      </c>
      <c r="P3051" t="s">
        <v>119</v>
      </c>
    </row>
    <row r="3052" spans="1:16" x14ac:dyDescent="0.3">
      <c r="A3052" t="s">
        <v>25</v>
      </c>
      <c r="B3052" s="1">
        <v>45581.553784722222</v>
      </c>
      <c r="C3052" t="str">
        <f>"38"</f>
        <v>38</v>
      </c>
      <c r="D3052" t="s">
        <v>115</v>
      </c>
      <c r="E3052" t="s">
        <v>116</v>
      </c>
      <c r="F3052" t="s">
        <v>117</v>
      </c>
      <c r="H3052" t="s">
        <v>791</v>
      </c>
      <c r="L3052">
        <v>0</v>
      </c>
      <c r="M3052">
        <v>0</v>
      </c>
      <c r="N3052">
        <v>0</v>
      </c>
      <c r="O3052" s="1">
        <v>45581.553784722222</v>
      </c>
      <c r="P3052" t="s">
        <v>119</v>
      </c>
    </row>
    <row r="3053" spans="1:16" x14ac:dyDescent="0.3">
      <c r="A3053" t="s">
        <v>25</v>
      </c>
      <c r="B3053" s="1">
        <v>45581.553784722222</v>
      </c>
      <c r="C3053" t="str">
        <f>"41"</f>
        <v>41</v>
      </c>
      <c r="D3053" t="s">
        <v>120</v>
      </c>
      <c r="E3053" t="s">
        <v>116</v>
      </c>
      <c r="F3053" t="s">
        <v>117</v>
      </c>
      <c r="H3053" t="s">
        <v>791</v>
      </c>
      <c r="I3053" t="str">
        <f>"101570001108343"</f>
        <v>101570001108343</v>
      </c>
      <c r="J3053" t="str">
        <f>"48205"</f>
        <v>48205</v>
      </c>
      <c r="K3053" t="s">
        <v>20</v>
      </c>
      <c r="L3053">
        <v>49</v>
      </c>
      <c r="M3053">
        <v>49</v>
      </c>
      <c r="N3053">
        <v>0</v>
      </c>
      <c r="O3053" s="1">
        <v>45581.553784722222</v>
      </c>
      <c r="P3053" t="s">
        <v>119</v>
      </c>
    </row>
    <row r="3054" spans="1:16" x14ac:dyDescent="0.3">
      <c r="A3054" t="s">
        <v>25</v>
      </c>
      <c r="B3054" s="1">
        <v>45581.553784722222</v>
      </c>
      <c r="C3054" t="str">
        <f>"41"</f>
        <v>41</v>
      </c>
      <c r="D3054" t="s">
        <v>120</v>
      </c>
      <c r="E3054" t="s">
        <v>116</v>
      </c>
      <c r="F3054" t="s">
        <v>117</v>
      </c>
      <c r="H3054" t="s">
        <v>791</v>
      </c>
      <c r="I3054" t="str">
        <f>"101570001108482"</f>
        <v>101570001108482</v>
      </c>
      <c r="J3054" t="str">
        <f>"48205"</f>
        <v>48205</v>
      </c>
      <c r="K3054" t="s">
        <v>20</v>
      </c>
      <c r="L3054">
        <v>49</v>
      </c>
      <c r="M3054">
        <v>49</v>
      </c>
      <c r="N3054">
        <v>0</v>
      </c>
      <c r="O3054" s="1">
        <v>45581.553784722222</v>
      </c>
      <c r="P3054" t="s">
        <v>119</v>
      </c>
    </row>
    <row r="3055" spans="1:16" x14ac:dyDescent="0.3">
      <c r="A3055" t="s">
        <v>25</v>
      </c>
      <c r="B3055" s="1">
        <v>45581.553784722222</v>
      </c>
      <c r="C3055" t="str">
        <f>"41"</f>
        <v>41</v>
      </c>
      <c r="D3055" t="s">
        <v>120</v>
      </c>
      <c r="E3055" t="s">
        <v>116</v>
      </c>
      <c r="F3055" t="s">
        <v>117</v>
      </c>
      <c r="H3055" t="s">
        <v>791</v>
      </c>
      <c r="I3055" t="str">
        <f>"101570001108342"</f>
        <v>101570001108342</v>
      </c>
      <c r="J3055" t="str">
        <f>"48205"</f>
        <v>48205</v>
      </c>
      <c r="K3055" t="s">
        <v>20</v>
      </c>
      <c r="L3055">
        <v>49</v>
      </c>
      <c r="M3055">
        <v>49</v>
      </c>
      <c r="N3055">
        <v>0</v>
      </c>
      <c r="O3055" s="1">
        <v>45581.553784722222</v>
      </c>
      <c r="P3055" t="s">
        <v>119</v>
      </c>
    </row>
    <row r="3056" spans="1:16" x14ac:dyDescent="0.3">
      <c r="A3056" t="s">
        <v>25</v>
      </c>
      <c r="B3056" s="1">
        <v>45581.553784722222</v>
      </c>
      <c r="C3056" t="str">
        <f>"41"</f>
        <v>41</v>
      </c>
      <c r="D3056" t="s">
        <v>120</v>
      </c>
      <c r="E3056" t="s">
        <v>116</v>
      </c>
      <c r="F3056" t="s">
        <v>117</v>
      </c>
      <c r="H3056" t="s">
        <v>791</v>
      </c>
      <c r="I3056" t="str">
        <f>"101570001108174"</f>
        <v>101570001108174</v>
      </c>
      <c r="J3056" t="str">
        <f>"48205"</f>
        <v>48205</v>
      </c>
      <c r="K3056" t="s">
        <v>20</v>
      </c>
      <c r="L3056">
        <v>49</v>
      </c>
      <c r="M3056">
        <v>49</v>
      </c>
      <c r="N3056">
        <v>0</v>
      </c>
      <c r="O3056" s="1">
        <v>45581.553784722222</v>
      </c>
      <c r="P3056" t="s">
        <v>119</v>
      </c>
    </row>
    <row r="3057" spans="1:16" x14ac:dyDescent="0.3">
      <c r="A3057" t="s">
        <v>25</v>
      </c>
      <c r="B3057" s="1">
        <v>45581.553784722222</v>
      </c>
      <c r="C3057" t="str">
        <f>"41"</f>
        <v>41</v>
      </c>
      <c r="D3057" t="s">
        <v>120</v>
      </c>
      <c r="E3057" t="s">
        <v>116</v>
      </c>
      <c r="F3057" t="s">
        <v>117</v>
      </c>
      <c r="H3057" t="s">
        <v>791</v>
      </c>
      <c r="I3057" t="str">
        <f>"101570001108177"</f>
        <v>101570001108177</v>
      </c>
      <c r="J3057" t="str">
        <f>"48205"</f>
        <v>48205</v>
      </c>
      <c r="K3057" t="s">
        <v>20</v>
      </c>
      <c r="L3057">
        <v>49</v>
      </c>
      <c r="M3057">
        <v>49</v>
      </c>
      <c r="N3057">
        <v>0</v>
      </c>
      <c r="O3057" s="1">
        <v>45581.553784722222</v>
      </c>
      <c r="P3057" t="s">
        <v>119</v>
      </c>
    </row>
    <row r="3058" spans="1:16" x14ac:dyDescent="0.3">
      <c r="A3058" t="s">
        <v>25</v>
      </c>
      <c r="B3058" s="1">
        <v>45581.552939814814</v>
      </c>
      <c r="C3058" t="str">
        <f>"38"</f>
        <v>38</v>
      </c>
      <c r="D3058" t="s">
        <v>115</v>
      </c>
      <c r="E3058" t="s">
        <v>116</v>
      </c>
      <c r="F3058" t="s">
        <v>117</v>
      </c>
      <c r="H3058" t="s">
        <v>792</v>
      </c>
      <c r="L3058">
        <v>0</v>
      </c>
      <c r="M3058">
        <v>0</v>
      </c>
      <c r="N3058">
        <v>0</v>
      </c>
      <c r="O3058" s="1">
        <v>45581.552939814814</v>
      </c>
      <c r="P3058" t="s">
        <v>119</v>
      </c>
    </row>
    <row r="3059" spans="1:16" x14ac:dyDescent="0.3">
      <c r="A3059" t="s">
        <v>25</v>
      </c>
      <c r="B3059" s="1">
        <v>45581.552939814814</v>
      </c>
      <c r="C3059" t="str">
        <f>"41"</f>
        <v>41</v>
      </c>
      <c r="D3059" t="s">
        <v>120</v>
      </c>
      <c r="E3059" t="s">
        <v>116</v>
      </c>
      <c r="F3059" t="s">
        <v>117</v>
      </c>
      <c r="H3059" t="s">
        <v>792</v>
      </c>
      <c r="I3059" t="str">
        <f>"101050002014802"</f>
        <v>101050002014802</v>
      </c>
      <c r="J3059" t="str">
        <f>"31090"</f>
        <v>31090</v>
      </c>
      <c r="K3059" t="s">
        <v>76</v>
      </c>
      <c r="L3059">
        <v>49</v>
      </c>
      <c r="M3059">
        <v>49</v>
      </c>
      <c r="N3059">
        <v>0</v>
      </c>
      <c r="O3059" s="1">
        <v>45581.552939814814</v>
      </c>
      <c r="P3059" t="s">
        <v>119</v>
      </c>
    </row>
    <row r="3060" spans="1:16" x14ac:dyDescent="0.3">
      <c r="A3060" t="s">
        <v>25</v>
      </c>
      <c r="B3060" s="1">
        <v>45581.552939814814</v>
      </c>
      <c r="C3060" t="str">
        <f>"41"</f>
        <v>41</v>
      </c>
      <c r="D3060" t="s">
        <v>120</v>
      </c>
      <c r="E3060" t="s">
        <v>116</v>
      </c>
      <c r="F3060" t="s">
        <v>117</v>
      </c>
      <c r="H3060" t="s">
        <v>792</v>
      </c>
      <c r="I3060" t="str">
        <f>"101050002014808"</f>
        <v>101050002014808</v>
      </c>
      <c r="J3060" t="str">
        <f>"31090"</f>
        <v>31090</v>
      </c>
      <c r="K3060" t="s">
        <v>76</v>
      </c>
      <c r="L3060">
        <v>49</v>
      </c>
      <c r="M3060">
        <v>49</v>
      </c>
      <c r="N3060">
        <v>0</v>
      </c>
      <c r="O3060" s="1">
        <v>45581.552939814814</v>
      </c>
      <c r="P3060" t="s">
        <v>119</v>
      </c>
    </row>
    <row r="3061" spans="1:16" x14ac:dyDescent="0.3">
      <c r="A3061" t="s">
        <v>25</v>
      </c>
      <c r="B3061" s="1">
        <v>45581.552939814814</v>
      </c>
      <c r="C3061" t="str">
        <f>"41"</f>
        <v>41</v>
      </c>
      <c r="D3061" t="s">
        <v>120</v>
      </c>
      <c r="E3061" t="s">
        <v>116</v>
      </c>
      <c r="F3061" t="s">
        <v>117</v>
      </c>
      <c r="H3061" t="s">
        <v>792</v>
      </c>
      <c r="I3061" t="str">
        <f>"101050002014794"</f>
        <v>101050002014794</v>
      </c>
      <c r="J3061" t="str">
        <f>"31090"</f>
        <v>31090</v>
      </c>
      <c r="K3061" t="s">
        <v>76</v>
      </c>
      <c r="L3061">
        <v>49</v>
      </c>
      <c r="M3061">
        <v>49</v>
      </c>
      <c r="N3061">
        <v>0</v>
      </c>
      <c r="O3061" s="1">
        <v>45581.552939814814</v>
      </c>
      <c r="P3061" t="s">
        <v>119</v>
      </c>
    </row>
    <row r="3062" spans="1:16" x14ac:dyDescent="0.3">
      <c r="A3062" t="s">
        <v>25</v>
      </c>
      <c r="B3062" s="1">
        <v>45581.552939814814</v>
      </c>
      <c r="C3062" t="str">
        <f>"41"</f>
        <v>41</v>
      </c>
      <c r="D3062" t="s">
        <v>120</v>
      </c>
      <c r="E3062" t="s">
        <v>116</v>
      </c>
      <c r="F3062" t="s">
        <v>117</v>
      </c>
      <c r="H3062" t="s">
        <v>792</v>
      </c>
      <c r="I3062" t="str">
        <f>"101050002014791"</f>
        <v>101050002014791</v>
      </c>
      <c r="J3062" t="str">
        <f>"31090"</f>
        <v>31090</v>
      </c>
      <c r="K3062" t="s">
        <v>76</v>
      </c>
      <c r="L3062">
        <v>49</v>
      </c>
      <c r="M3062">
        <v>49</v>
      </c>
      <c r="N3062">
        <v>0</v>
      </c>
      <c r="O3062" s="1">
        <v>45581.552939814814</v>
      </c>
      <c r="P3062" t="s">
        <v>119</v>
      </c>
    </row>
    <row r="3063" spans="1:16" x14ac:dyDescent="0.3">
      <c r="A3063" t="s">
        <v>25</v>
      </c>
      <c r="B3063" s="1">
        <v>45581.552928240744</v>
      </c>
      <c r="C3063" t="str">
        <f>"41"</f>
        <v>41</v>
      </c>
      <c r="D3063" t="s">
        <v>120</v>
      </c>
      <c r="E3063" t="s">
        <v>116</v>
      </c>
      <c r="F3063" t="s">
        <v>117</v>
      </c>
      <c r="H3063" t="s">
        <v>792</v>
      </c>
      <c r="I3063" t="str">
        <f>"101050002014796"</f>
        <v>101050002014796</v>
      </c>
      <c r="J3063" t="str">
        <f>"31090"</f>
        <v>31090</v>
      </c>
      <c r="K3063" t="s">
        <v>76</v>
      </c>
      <c r="L3063">
        <v>49</v>
      </c>
      <c r="M3063">
        <v>49</v>
      </c>
      <c r="N3063">
        <v>0</v>
      </c>
      <c r="O3063" s="1">
        <v>45581.552928240744</v>
      </c>
      <c r="P3063" t="s">
        <v>119</v>
      </c>
    </row>
    <row r="3064" spans="1:16" x14ac:dyDescent="0.3">
      <c r="A3064" t="s">
        <v>25</v>
      </c>
      <c r="B3064" s="1">
        <v>45581.552662037036</v>
      </c>
      <c r="C3064" t="str">
        <f>"38"</f>
        <v>38</v>
      </c>
      <c r="D3064" t="s">
        <v>115</v>
      </c>
      <c r="E3064" t="s">
        <v>116</v>
      </c>
      <c r="F3064" t="s">
        <v>117</v>
      </c>
      <c r="H3064" t="s">
        <v>767</v>
      </c>
      <c r="L3064">
        <v>0</v>
      </c>
      <c r="M3064">
        <v>0</v>
      </c>
      <c r="N3064">
        <v>0</v>
      </c>
      <c r="O3064" s="1">
        <v>45581.552662037036</v>
      </c>
      <c r="P3064" t="s">
        <v>122</v>
      </c>
    </row>
    <row r="3065" spans="1:16" x14ac:dyDescent="0.3">
      <c r="A3065" t="s">
        <v>25</v>
      </c>
      <c r="B3065" s="1">
        <v>45581.552662037036</v>
      </c>
      <c r="C3065" t="str">
        <f t="shared" ref="C3065:C3071" si="575">"41"</f>
        <v>41</v>
      </c>
      <c r="D3065" t="s">
        <v>120</v>
      </c>
      <c r="E3065" t="s">
        <v>116</v>
      </c>
      <c r="F3065" t="s">
        <v>117</v>
      </c>
      <c r="H3065" t="s">
        <v>767</v>
      </c>
      <c r="I3065" t="str">
        <f>"101620000457950"</f>
        <v>101620000457950</v>
      </c>
      <c r="J3065" t="str">
        <f t="shared" ref="J3065:J3071" si="576">"514866"</f>
        <v>514866</v>
      </c>
      <c r="K3065" t="s">
        <v>14</v>
      </c>
      <c r="L3065">
        <v>49</v>
      </c>
      <c r="M3065">
        <v>49</v>
      </c>
      <c r="N3065">
        <v>0</v>
      </c>
      <c r="O3065" s="1">
        <v>45581.552662037036</v>
      </c>
      <c r="P3065" t="s">
        <v>122</v>
      </c>
    </row>
    <row r="3066" spans="1:16" x14ac:dyDescent="0.3">
      <c r="A3066" t="s">
        <v>25</v>
      </c>
      <c r="B3066" s="1">
        <v>45581.55265046296</v>
      </c>
      <c r="C3066" t="str">
        <f t="shared" si="575"/>
        <v>41</v>
      </c>
      <c r="D3066" t="s">
        <v>120</v>
      </c>
      <c r="E3066" t="s">
        <v>116</v>
      </c>
      <c r="F3066" t="s">
        <v>117</v>
      </c>
      <c r="H3066" t="s">
        <v>767</v>
      </c>
      <c r="I3066" t="str">
        <f>"101050002024501"</f>
        <v>101050002024501</v>
      </c>
      <c r="J3066" t="str">
        <f t="shared" si="576"/>
        <v>514866</v>
      </c>
      <c r="K3066" t="s">
        <v>14</v>
      </c>
      <c r="L3066">
        <v>49</v>
      </c>
      <c r="M3066">
        <v>49</v>
      </c>
      <c r="N3066">
        <v>0</v>
      </c>
      <c r="O3066" s="1">
        <v>45581.55265046296</v>
      </c>
      <c r="P3066" t="s">
        <v>122</v>
      </c>
    </row>
    <row r="3067" spans="1:16" x14ac:dyDescent="0.3">
      <c r="A3067" t="s">
        <v>25</v>
      </c>
      <c r="B3067" s="1">
        <v>45581.55265046296</v>
      </c>
      <c r="C3067" t="str">
        <f t="shared" si="575"/>
        <v>41</v>
      </c>
      <c r="D3067" t="s">
        <v>120</v>
      </c>
      <c r="E3067" t="s">
        <v>116</v>
      </c>
      <c r="F3067" t="s">
        <v>117</v>
      </c>
      <c r="H3067" t="s">
        <v>767</v>
      </c>
      <c r="I3067" t="str">
        <f>"101050002024479"</f>
        <v>101050002024479</v>
      </c>
      <c r="J3067" t="str">
        <f t="shared" si="576"/>
        <v>514866</v>
      </c>
      <c r="K3067" t="s">
        <v>14</v>
      </c>
      <c r="L3067">
        <v>49</v>
      </c>
      <c r="M3067">
        <v>49</v>
      </c>
      <c r="N3067">
        <v>0</v>
      </c>
      <c r="O3067" s="1">
        <v>45581.55265046296</v>
      </c>
      <c r="P3067" t="s">
        <v>122</v>
      </c>
    </row>
    <row r="3068" spans="1:16" x14ac:dyDescent="0.3">
      <c r="A3068" t="s">
        <v>25</v>
      </c>
      <c r="B3068" s="1">
        <v>45581.55265046296</v>
      </c>
      <c r="C3068" t="str">
        <f t="shared" si="575"/>
        <v>41</v>
      </c>
      <c r="D3068" t="s">
        <v>120</v>
      </c>
      <c r="E3068" t="s">
        <v>116</v>
      </c>
      <c r="F3068" t="s">
        <v>117</v>
      </c>
      <c r="H3068" t="s">
        <v>767</v>
      </c>
      <c r="I3068" t="str">
        <f>"101620000458164"</f>
        <v>101620000458164</v>
      </c>
      <c r="J3068" t="str">
        <f t="shared" si="576"/>
        <v>514866</v>
      </c>
      <c r="K3068" t="s">
        <v>14</v>
      </c>
      <c r="L3068">
        <v>49</v>
      </c>
      <c r="M3068">
        <v>49</v>
      </c>
      <c r="N3068">
        <v>0</v>
      </c>
      <c r="O3068" s="1">
        <v>45581.55265046296</v>
      </c>
      <c r="P3068" t="s">
        <v>122</v>
      </c>
    </row>
    <row r="3069" spans="1:16" x14ac:dyDescent="0.3">
      <c r="A3069" t="s">
        <v>25</v>
      </c>
      <c r="B3069" s="1">
        <v>45581.55265046296</v>
      </c>
      <c r="C3069" t="str">
        <f t="shared" si="575"/>
        <v>41</v>
      </c>
      <c r="D3069" t="s">
        <v>120</v>
      </c>
      <c r="E3069" t="s">
        <v>116</v>
      </c>
      <c r="F3069" t="s">
        <v>117</v>
      </c>
      <c r="H3069" t="s">
        <v>767</v>
      </c>
      <c r="I3069" t="str">
        <f>"101620000458163"</f>
        <v>101620000458163</v>
      </c>
      <c r="J3069" t="str">
        <f t="shared" si="576"/>
        <v>514866</v>
      </c>
      <c r="K3069" t="s">
        <v>14</v>
      </c>
      <c r="L3069">
        <v>49</v>
      </c>
      <c r="M3069">
        <v>49</v>
      </c>
      <c r="N3069">
        <v>0</v>
      </c>
      <c r="O3069" s="1">
        <v>45581.55265046296</v>
      </c>
      <c r="P3069" t="s">
        <v>122</v>
      </c>
    </row>
    <row r="3070" spans="1:16" x14ac:dyDescent="0.3">
      <c r="A3070" t="s">
        <v>25</v>
      </c>
      <c r="B3070" s="1">
        <v>45581.55265046296</v>
      </c>
      <c r="C3070" t="str">
        <f t="shared" si="575"/>
        <v>41</v>
      </c>
      <c r="D3070" t="s">
        <v>120</v>
      </c>
      <c r="E3070" t="s">
        <v>116</v>
      </c>
      <c r="F3070" t="s">
        <v>117</v>
      </c>
      <c r="H3070" t="s">
        <v>767</v>
      </c>
      <c r="I3070" t="str">
        <f>"101050002017441"</f>
        <v>101050002017441</v>
      </c>
      <c r="J3070" t="str">
        <f t="shared" si="576"/>
        <v>514866</v>
      </c>
      <c r="K3070" t="s">
        <v>14</v>
      </c>
      <c r="L3070">
        <v>49</v>
      </c>
      <c r="M3070">
        <v>49</v>
      </c>
      <c r="N3070">
        <v>0</v>
      </c>
      <c r="O3070" s="1">
        <v>45581.55265046296</v>
      </c>
      <c r="P3070" t="s">
        <v>122</v>
      </c>
    </row>
    <row r="3071" spans="1:16" x14ac:dyDescent="0.3">
      <c r="A3071" t="s">
        <v>25</v>
      </c>
      <c r="B3071" s="1">
        <v>45581.55265046296</v>
      </c>
      <c r="C3071" t="str">
        <f t="shared" si="575"/>
        <v>41</v>
      </c>
      <c r="D3071" t="s">
        <v>120</v>
      </c>
      <c r="E3071" t="s">
        <v>116</v>
      </c>
      <c r="F3071" t="s">
        <v>117</v>
      </c>
      <c r="H3071" t="s">
        <v>767</v>
      </c>
      <c r="I3071" t="str">
        <f>"101050002024315"</f>
        <v>101050002024315</v>
      </c>
      <c r="J3071" t="str">
        <f t="shared" si="576"/>
        <v>514866</v>
      </c>
      <c r="K3071" t="s">
        <v>14</v>
      </c>
      <c r="L3071">
        <v>49</v>
      </c>
      <c r="M3071">
        <v>49</v>
      </c>
      <c r="N3071">
        <v>0</v>
      </c>
      <c r="O3071" s="1">
        <v>45581.55265046296</v>
      </c>
      <c r="P3071" t="s">
        <v>122</v>
      </c>
    </row>
    <row r="3072" spans="1:16" x14ac:dyDescent="0.3">
      <c r="A3072" t="s">
        <v>25</v>
      </c>
      <c r="B3072" s="1">
        <v>45581.550543981481</v>
      </c>
      <c r="C3072" t="str">
        <f>"38"</f>
        <v>38</v>
      </c>
      <c r="D3072" t="s">
        <v>115</v>
      </c>
      <c r="E3072" t="s">
        <v>116</v>
      </c>
      <c r="F3072" t="s">
        <v>117</v>
      </c>
      <c r="H3072" t="s">
        <v>793</v>
      </c>
      <c r="L3072">
        <v>0</v>
      </c>
      <c r="M3072">
        <v>0</v>
      </c>
      <c r="N3072">
        <v>0</v>
      </c>
      <c r="O3072" s="1">
        <v>45581.550543981481</v>
      </c>
      <c r="P3072" t="s">
        <v>119</v>
      </c>
    </row>
    <row r="3073" spans="1:16" x14ac:dyDescent="0.3">
      <c r="A3073" t="s">
        <v>25</v>
      </c>
      <c r="B3073" s="1">
        <v>45581.550486111111</v>
      </c>
      <c r="C3073" t="str">
        <f>"38"</f>
        <v>38</v>
      </c>
      <c r="D3073" t="s">
        <v>115</v>
      </c>
      <c r="E3073" t="s">
        <v>116</v>
      </c>
      <c r="F3073" t="s">
        <v>117</v>
      </c>
      <c r="H3073" t="s">
        <v>794</v>
      </c>
      <c r="L3073">
        <v>0</v>
      </c>
      <c r="M3073">
        <v>0</v>
      </c>
      <c r="N3073">
        <v>0</v>
      </c>
      <c r="O3073" s="1">
        <v>45581.550486111111</v>
      </c>
      <c r="P3073" t="s">
        <v>119</v>
      </c>
    </row>
    <row r="3074" spans="1:16" x14ac:dyDescent="0.3">
      <c r="A3074" t="s">
        <v>25</v>
      </c>
      <c r="B3074" s="1">
        <v>45581.550416666665</v>
      </c>
      <c r="C3074" t="str">
        <f>"38"</f>
        <v>38</v>
      </c>
      <c r="D3074" t="s">
        <v>115</v>
      </c>
      <c r="E3074" t="s">
        <v>116</v>
      </c>
      <c r="F3074" t="s">
        <v>117</v>
      </c>
      <c r="H3074" t="s">
        <v>795</v>
      </c>
      <c r="L3074">
        <v>0</v>
      </c>
      <c r="M3074">
        <v>0</v>
      </c>
      <c r="N3074">
        <v>0</v>
      </c>
      <c r="O3074" s="1">
        <v>45581.550416666665</v>
      </c>
      <c r="P3074" t="s">
        <v>119</v>
      </c>
    </row>
    <row r="3075" spans="1:16" x14ac:dyDescent="0.3">
      <c r="A3075" t="s">
        <v>25</v>
      </c>
      <c r="B3075" s="1">
        <v>45581.550416666665</v>
      </c>
      <c r="C3075" t="str">
        <f>"41"</f>
        <v>41</v>
      </c>
      <c r="D3075" t="s">
        <v>120</v>
      </c>
      <c r="E3075" t="s">
        <v>116</v>
      </c>
      <c r="F3075" t="s">
        <v>117</v>
      </c>
      <c r="H3075" t="s">
        <v>795</v>
      </c>
      <c r="I3075" t="str">
        <f>"101570001107922"</f>
        <v>101570001107922</v>
      </c>
      <c r="J3075" t="str">
        <f>"123790"</f>
        <v>123790</v>
      </c>
      <c r="K3075" t="s">
        <v>30</v>
      </c>
      <c r="L3075">
        <v>30</v>
      </c>
      <c r="M3075">
        <v>30</v>
      </c>
      <c r="N3075">
        <v>0</v>
      </c>
      <c r="O3075" s="1">
        <v>45581.550416666665</v>
      </c>
      <c r="P3075" t="s">
        <v>119</v>
      </c>
    </row>
    <row r="3076" spans="1:16" x14ac:dyDescent="0.3">
      <c r="A3076" t="s">
        <v>25</v>
      </c>
      <c r="B3076" s="1">
        <v>45581.548263888886</v>
      </c>
      <c r="C3076" t="str">
        <f>"38"</f>
        <v>38</v>
      </c>
      <c r="D3076" t="s">
        <v>115</v>
      </c>
      <c r="E3076" t="s">
        <v>116</v>
      </c>
      <c r="F3076" t="s">
        <v>117</v>
      </c>
      <c r="H3076" t="s">
        <v>796</v>
      </c>
      <c r="L3076">
        <v>0</v>
      </c>
      <c r="M3076">
        <v>0</v>
      </c>
      <c r="N3076">
        <v>0</v>
      </c>
      <c r="O3076" s="1">
        <v>45581.548263888886</v>
      </c>
      <c r="P3076" t="s">
        <v>119</v>
      </c>
    </row>
    <row r="3077" spans="1:16" x14ac:dyDescent="0.3">
      <c r="A3077" t="s">
        <v>25</v>
      </c>
      <c r="B3077" s="1">
        <v>45581.548263888886</v>
      </c>
      <c r="C3077" t="str">
        <f>"41"</f>
        <v>41</v>
      </c>
      <c r="D3077" t="s">
        <v>120</v>
      </c>
      <c r="E3077" t="s">
        <v>116</v>
      </c>
      <c r="F3077" t="s">
        <v>117</v>
      </c>
      <c r="H3077" t="s">
        <v>796</v>
      </c>
      <c r="I3077" t="str">
        <f>"101010000229963"</f>
        <v>101010000229963</v>
      </c>
      <c r="J3077" t="str">
        <f>"126914"</f>
        <v>126914</v>
      </c>
      <c r="K3077" t="s">
        <v>54</v>
      </c>
      <c r="L3077">
        <v>49</v>
      </c>
      <c r="M3077">
        <v>49</v>
      </c>
      <c r="N3077">
        <v>0</v>
      </c>
      <c r="O3077" s="1">
        <v>45581.548263888886</v>
      </c>
      <c r="P3077" t="s">
        <v>119</v>
      </c>
    </row>
    <row r="3078" spans="1:16" x14ac:dyDescent="0.3">
      <c r="A3078" t="s">
        <v>25</v>
      </c>
      <c r="B3078" s="1">
        <v>45581.549062500002</v>
      </c>
      <c r="C3078" t="str">
        <f>"38"</f>
        <v>38</v>
      </c>
      <c r="D3078" t="s">
        <v>115</v>
      </c>
      <c r="E3078" t="s">
        <v>116</v>
      </c>
      <c r="F3078" t="s">
        <v>117</v>
      </c>
      <c r="H3078" t="s">
        <v>797</v>
      </c>
      <c r="L3078">
        <v>0</v>
      </c>
      <c r="M3078">
        <v>0</v>
      </c>
      <c r="N3078">
        <v>0</v>
      </c>
      <c r="O3078" s="1">
        <v>45581.549062500002</v>
      </c>
      <c r="P3078" t="s">
        <v>122</v>
      </c>
    </row>
    <row r="3079" spans="1:16" x14ac:dyDescent="0.3">
      <c r="A3079" t="s">
        <v>25</v>
      </c>
      <c r="B3079" s="1">
        <v>45581.549062500002</v>
      </c>
      <c r="C3079" t="str">
        <f t="shared" ref="C3079:C3085" si="577">"41"</f>
        <v>41</v>
      </c>
      <c r="D3079" t="s">
        <v>120</v>
      </c>
      <c r="E3079" t="s">
        <v>116</v>
      </c>
      <c r="F3079" t="s">
        <v>117</v>
      </c>
      <c r="H3079" t="s">
        <v>797</v>
      </c>
      <c r="I3079" t="str">
        <f>"101050002020294"</f>
        <v>101050002020294</v>
      </c>
      <c r="J3079" t="str">
        <f t="shared" ref="J3079:J3085" si="578">"514719"</f>
        <v>514719</v>
      </c>
      <c r="K3079" t="s">
        <v>0</v>
      </c>
      <c r="L3079">
        <v>49</v>
      </c>
      <c r="M3079">
        <v>49</v>
      </c>
      <c r="N3079">
        <v>0</v>
      </c>
      <c r="O3079" s="1">
        <v>45581.549062500002</v>
      </c>
      <c r="P3079" t="s">
        <v>122</v>
      </c>
    </row>
    <row r="3080" spans="1:16" x14ac:dyDescent="0.3">
      <c r="A3080" t="s">
        <v>25</v>
      </c>
      <c r="B3080" s="1">
        <v>45581.549062500002</v>
      </c>
      <c r="C3080" t="str">
        <f t="shared" si="577"/>
        <v>41</v>
      </c>
      <c r="D3080" t="s">
        <v>120</v>
      </c>
      <c r="E3080" t="s">
        <v>116</v>
      </c>
      <c r="F3080" t="s">
        <v>117</v>
      </c>
      <c r="H3080" t="s">
        <v>797</v>
      </c>
      <c r="I3080" t="str">
        <f>"101050002020409"</f>
        <v>101050002020409</v>
      </c>
      <c r="J3080" t="str">
        <f t="shared" si="578"/>
        <v>514719</v>
      </c>
      <c r="K3080" t="s">
        <v>0</v>
      </c>
      <c r="L3080">
        <v>49</v>
      </c>
      <c r="M3080">
        <v>49</v>
      </c>
      <c r="N3080">
        <v>0</v>
      </c>
      <c r="O3080" s="1">
        <v>45581.549062500002</v>
      </c>
      <c r="P3080" t="s">
        <v>122</v>
      </c>
    </row>
    <row r="3081" spans="1:16" x14ac:dyDescent="0.3">
      <c r="A3081" t="s">
        <v>25</v>
      </c>
      <c r="B3081" s="1">
        <v>45581.549062500002</v>
      </c>
      <c r="C3081" t="str">
        <f t="shared" si="577"/>
        <v>41</v>
      </c>
      <c r="D3081" t="s">
        <v>120</v>
      </c>
      <c r="E3081" t="s">
        <v>116</v>
      </c>
      <c r="F3081" t="s">
        <v>117</v>
      </c>
      <c r="H3081" t="s">
        <v>797</v>
      </c>
      <c r="I3081" t="str">
        <f>"101050002020361"</f>
        <v>101050002020361</v>
      </c>
      <c r="J3081" t="str">
        <f t="shared" si="578"/>
        <v>514719</v>
      </c>
      <c r="K3081" t="s">
        <v>0</v>
      </c>
      <c r="L3081">
        <v>49</v>
      </c>
      <c r="M3081">
        <v>49</v>
      </c>
      <c r="N3081">
        <v>0</v>
      </c>
      <c r="O3081" s="1">
        <v>45581.549062500002</v>
      </c>
      <c r="P3081" t="s">
        <v>122</v>
      </c>
    </row>
    <row r="3082" spans="1:16" x14ac:dyDescent="0.3">
      <c r="A3082" t="s">
        <v>25</v>
      </c>
      <c r="B3082" s="1">
        <v>45581.549062500002</v>
      </c>
      <c r="C3082" t="str">
        <f t="shared" si="577"/>
        <v>41</v>
      </c>
      <c r="D3082" t="s">
        <v>120</v>
      </c>
      <c r="E3082" t="s">
        <v>116</v>
      </c>
      <c r="F3082" t="s">
        <v>117</v>
      </c>
      <c r="H3082" t="s">
        <v>797</v>
      </c>
      <c r="I3082" t="str">
        <f>"101050002020365"</f>
        <v>101050002020365</v>
      </c>
      <c r="J3082" t="str">
        <f t="shared" si="578"/>
        <v>514719</v>
      </c>
      <c r="K3082" t="s">
        <v>0</v>
      </c>
      <c r="L3082">
        <v>49</v>
      </c>
      <c r="M3082">
        <v>49</v>
      </c>
      <c r="N3082">
        <v>0</v>
      </c>
      <c r="O3082" s="1">
        <v>45581.549062500002</v>
      </c>
      <c r="P3082" t="s">
        <v>122</v>
      </c>
    </row>
    <row r="3083" spans="1:16" x14ac:dyDescent="0.3">
      <c r="A3083" t="s">
        <v>25</v>
      </c>
      <c r="B3083" s="1">
        <v>45581.549062500002</v>
      </c>
      <c r="C3083" t="str">
        <f t="shared" si="577"/>
        <v>41</v>
      </c>
      <c r="D3083" t="s">
        <v>120</v>
      </c>
      <c r="E3083" t="s">
        <v>116</v>
      </c>
      <c r="F3083" t="s">
        <v>117</v>
      </c>
      <c r="H3083" t="s">
        <v>797</v>
      </c>
      <c r="I3083" t="str">
        <f>"101050002020451"</f>
        <v>101050002020451</v>
      </c>
      <c r="J3083" t="str">
        <f t="shared" si="578"/>
        <v>514719</v>
      </c>
      <c r="K3083" t="s">
        <v>0</v>
      </c>
      <c r="L3083">
        <v>49</v>
      </c>
      <c r="M3083">
        <v>49</v>
      </c>
      <c r="N3083">
        <v>0</v>
      </c>
      <c r="O3083" s="1">
        <v>45581.549062500002</v>
      </c>
      <c r="P3083" t="s">
        <v>122</v>
      </c>
    </row>
    <row r="3084" spans="1:16" x14ac:dyDescent="0.3">
      <c r="A3084" t="s">
        <v>25</v>
      </c>
      <c r="B3084" s="1">
        <v>45581.549062500002</v>
      </c>
      <c r="C3084" t="str">
        <f t="shared" si="577"/>
        <v>41</v>
      </c>
      <c r="D3084" t="s">
        <v>120</v>
      </c>
      <c r="E3084" t="s">
        <v>116</v>
      </c>
      <c r="F3084" t="s">
        <v>117</v>
      </c>
      <c r="H3084" t="s">
        <v>797</v>
      </c>
      <c r="I3084" t="str">
        <f>"101050002020200"</f>
        <v>101050002020200</v>
      </c>
      <c r="J3084" t="str">
        <f t="shared" si="578"/>
        <v>514719</v>
      </c>
      <c r="K3084" t="s">
        <v>0</v>
      </c>
      <c r="L3084">
        <v>49</v>
      </c>
      <c r="M3084">
        <v>49</v>
      </c>
      <c r="N3084">
        <v>0</v>
      </c>
      <c r="O3084" s="1">
        <v>45581.549062500002</v>
      </c>
      <c r="P3084" t="s">
        <v>122</v>
      </c>
    </row>
    <row r="3085" spans="1:16" x14ac:dyDescent="0.3">
      <c r="A3085" t="s">
        <v>25</v>
      </c>
      <c r="B3085" s="1">
        <v>45581.549062500002</v>
      </c>
      <c r="C3085" t="str">
        <f t="shared" si="577"/>
        <v>41</v>
      </c>
      <c r="D3085" t="s">
        <v>120</v>
      </c>
      <c r="E3085" t="s">
        <v>116</v>
      </c>
      <c r="F3085" t="s">
        <v>117</v>
      </c>
      <c r="H3085" t="s">
        <v>797</v>
      </c>
      <c r="I3085" t="str">
        <f>"101050002020455"</f>
        <v>101050002020455</v>
      </c>
      <c r="J3085" t="str">
        <f t="shared" si="578"/>
        <v>514719</v>
      </c>
      <c r="K3085" t="s">
        <v>0</v>
      </c>
      <c r="L3085">
        <v>49</v>
      </c>
      <c r="M3085">
        <v>49</v>
      </c>
      <c r="N3085">
        <v>0</v>
      </c>
      <c r="O3085" s="1">
        <v>45581.549062500002</v>
      </c>
      <c r="P3085" t="s">
        <v>122</v>
      </c>
    </row>
    <row r="3086" spans="1:16" x14ac:dyDescent="0.3">
      <c r="A3086" t="s">
        <v>25</v>
      </c>
      <c r="B3086" s="1">
        <v>45581.548321759263</v>
      </c>
      <c r="C3086" t="str">
        <f>"38"</f>
        <v>38</v>
      </c>
      <c r="D3086" t="s">
        <v>115</v>
      </c>
      <c r="E3086" t="s">
        <v>116</v>
      </c>
      <c r="F3086" t="s">
        <v>117</v>
      </c>
      <c r="H3086" t="s">
        <v>798</v>
      </c>
      <c r="L3086">
        <v>0</v>
      </c>
      <c r="M3086">
        <v>0</v>
      </c>
      <c r="N3086">
        <v>0</v>
      </c>
      <c r="O3086" s="1">
        <v>45581.548321759263</v>
      </c>
      <c r="P3086" t="s">
        <v>122</v>
      </c>
    </row>
    <row r="3087" spans="1:16" x14ac:dyDescent="0.3">
      <c r="A3087" t="s">
        <v>25</v>
      </c>
      <c r="B3087" s="1">
        <v>45581.546770833331</v>
      </c>
      <c r="C3087" t="str">
        <f>"38"</f>
        <v>38</v>
      </c>
      <c r="D3087" t="s">
        <v>115</v>
      </c>
      <c r="E3087" t="s">
        <v>116</v>
      </c>
      <c r="F3087" t="s">
        <v>117</v>
      </c>
      <c r="H3087" t="s">
        <v>799</v>
      </c>
      <c r="L3087">
        <v>0</v>
      </c>
      <c r="M3087">
        <v>0</v>
      </c>
      <c r="N3087">
        <v>0</v>
      </c>
      <c r="O3087" s="1">
        <v>45581.546770833331</v>
      </c>
      <c r="P3087" t="s">
        <v>119</v>
      </c>
    </row>
    <row r="3088" spans="1:16" x14ac:dyDescent="0.3">
      <c r="A3088" t="s">
        <v>25</v>
      </c>
      <c r="B3088" s="1">
        <v>45581.546770833331</v>
      </c>
      <c r="C3088" t="str">
        <f t="shared" ref="C3088:C3094" si="579">"41"</f>
        <v>41</v>
      </c>
      <c r="D3088" t="s">
        <v>120</v>
      </c>
      <c r="E3088" t="s">
        <v>116</v>
      </c>
      <c r="F3088" t="s">
        <v>117</v>
      </c>
      <c r="H3088" t="s">
        <v>799</v>
      </c>
      <c r="I3088" t="str">
        <f>"101050001940419"</f>
        <v>101050001940419</v>
      </c>
      <c r="J3088" t="str">
        <f t="shared" ref="J3088:J3094" si="580">"126485"</f>
        <v>126485</v>
      </c>
      <c r="K3088" t="s">
        <v>49</v>
      </c>
      <c r="L3088">
        <v>49</v>
      </c>
      <c r="M3088">
        <v>49</v>
      </c>
      <c r="N3088">
        <v>0</v>
      </c>
      <c r="O3088" s="1">
        <v>45581.546770833331</v>
      </c>
      <c r="P3088" t="s">
        <v>119</v>
      </c>
    </row>
    <row r="3089" spans="1:16" x14ac:dyDescent="0.3">
      <c r="A3089" t="s">
        <v>25</v>
      </c>
      <c r="B3089" s="1">
        <v>45581.546770833331</v>
      </c>
      <c r="C3089" t="str">
        <f t="shared" si="579"/>
        <v>41</v>
      </c>
      <c r="D3089" t="s">
        <v>120</v>
      </c>
      <c r="E3089" t="s">
        <v>116</v>
      </c>
      <c r="F3089" t="s">
        <v>117</v>
      </c>
      <c r="H3089" t="s">
        <v>799</v>
      </c>
      <c r="I3089" t="str">
        <f>"101050001941081"</f>
        <v>101050001941081</v>
      </c>
      <c r="J3089" t="str">
        <f t="shared" si="580"/>
        <v>126485</v>
      </c>
      <c r="K3089" t="s">
        <v>49</v>
      </c>
      <c r="L3089">
        <v>49</v>
      </c>
      <c r="M3089">
        <v>49</v>
      </c>
      <c r="N3089">
        <v>0</v>
      </c>
      <c r="O3089" s="1">
        <v>45581.546770833331</v>
      </c>
      <c r="P3089" t="s">
        <v>119</v>
      </c>
    </row>
    <row r="3090" spans="1:16" x14ac:dyDescent="0.3">
      <c r="A3090" t="s">
        <v>25</v>
      </c>
      <c r="B3090" s="1">
        <v>45581.546770833331</v>
      </c>
      <c r="C3090" t="str">
        <f t="shared" si="579"/>
        <v>41</v>
      </c>
      <c r="D3090" t="s">
        <v>120</v>
      </c>
      <c r="E3090" t="s">
        <v>116</v>
      </c>
      <c r="F3090" t="s">
        <v>117</v>
      </c>
      <c r="H3090" t="s">
        <v>799</v>
      </c>
      <c r="I3090" t="str">
        <f>"101050001940418"</f>
        <v>101050001940418</v>
      </c>
      <c r="J3090" t="str">
        <f t="shared" si="580"/>
        <v>126485</v>
      </c>
      <c r="K3090" t="s">
        <v>49</v>
      </c>
      <c r="L3090">
        <v>49</v>
      </c>
      <c r="M3090">
        <v>49</v>
      </c>
      <c r="N3090">
        <v>0</v>
      </c>
      <c r="O3090" s="1">
        <v>45581.546770833331</v>
      </c>
      <c r="P3090" t="s">
        <v>119</v>
      </c>
    </row>
    <row r="3091" spans="1:16" x14ac:dyDescent="0.3">
      <c r="A3091" t="s">
        <v>25</v>
      </c>
      <c r="B3091" s="1">
        <v>45581.546770833331</v>
      </c>
      <c r="C3091" t="str">
        <f t="shared" si="579"/>
        <v>41</v>
      </c>
      <c r="D3091" t="s">
        <v>120</v>
      </c>
      <c r="E3091" t="s">
        <v>116</v>
      </c>
      <c r="F3091" t="s">
        <v>117</v>
      </c>
      <c r="H3091" t="s">
        <v>799</v>
      </c>
      <c r="I3091" t="str">
        <f>"101050001940982"</f>
        <v>101050001940982</v>
      </c>
      <c r="J3091" t="str">
        <f t="shared" si="580"/>
        <v>126485</v>
      </c>
      <c r="K3091" t="s">
        <v>49</v>
      </c>
      <c r="L3091">
        <v>49</v>
      </c>
      <c r="M3091">
        <v>49</v>
      </c>
      <c r="N3091">
        <v>0</v>
      </c>
      <c r="O3091" s="1">
        <v>45581.546770833331</v>
      </c>
      <c r="P3091" t="s">
        <v>119</v>
      </c>
    </row>
    <row r="3092" spans="1:16" x14ac:dyDescent="0.3">
      <c r="A3092" t="s">
        <v>25</v>
      </c>
      <c r="B3092" s="1">
        <v>45581.546770833331</v>
      </c>
      <c r="C3092" t="str">
        <f t="shared" si="579"/>
        <v>41</v>
      </c>
      <c r="D3092" t="s">
        <v>120</v>
      </c>
      <c r="E3092" t="s">
        <v>116</v>
      </c>
      <c r="F3092" t="s">
        <v>117</v>
      </c>
      <c r="H3092" t="s">
        <v>799</v>
      </c>
      <c r="I3092" t="str">
        <f>"101050001940981"</f>
        <v>101050001940981</v>
      </c>
      <c r="J3092" t="str">
        <f t="shared" si="580"/>
        <v>126485</v>
      </c>
      <c r="K3092" t="s">
        <v>49</v>
      </c>
      <c r="L3092">
        <v>49</v>
      </c>
      <c r="M3092">
        <v>49</v>
      </c>
      <c r="N3092">
        <v>0</v>
      </c>
      <c r="O3092" s="1">
        <v>45581.546770833331</v>
      </c>
      <c r="P3092" t="s">
        <v>119</v>
      </c>
    </row>
    <row r="3093" spans="1:16" x14ac:dyDescent="0.3">
      <c r="A3093" t="s">
        <v>25</v>
      </c>
      <c r="B3093" s="1">
        <v>45581.546770833331</v>
      </c>
      <c r="C3093" t="str">
        <f t="shared" si="579"/>
        <v>41</v>
      </c>
      <c r="D3093" t="s">
        <v>120</v>
      </c>
      <c r="E3093" t="s">
        <v>116</v>
      </c>
      <c r="F3093" t="s">
        <v>117</v>
      </c>
      <c r="H3093" t="s">
        <v>799</v>
      </c>
      <c r="I3093" t="str">
        <f>"101050001940006"</f>
        <v>101050001940006</v>
      </c>
      <c r="J3093" t="str">
        <f t="shared" si="580"/>
        <v>126485</v>
      </c>
      <c r="K3093" t="s">
        <v>49</v>
      </c>
      <c r="L3093">
        <v>49</v>
      </c>
      <c r="M3093">
        <v>49</v>
      </c>
      <c r="N3093">
        <v>0</v>
      </c>
      <c r="O3093" s="1">
        <v>45581.546770833331</v>
      </c>
      <c r="P3093" t="s">
        <v>119</v>
      </c>
    </row>
    <row r="3094" spans="1:16" x14ac:dyDescent="0.3">
      <c r="A3094" t="s">
        <v>25</v>
      </c>
      <c r="B3094" s="1">
        <v>45581.546759259261</v>
      </c>
      <c r="C3094" t="str">
        <f t="shared" si="579"/>
        <v>41</v>
      </c>
      <c r="D3094" t="s">
        <v>120</v>
      </c>
      <c r="E3094" t="s">
        <v>116</v>
      </c>
      <c r="F3094" t="s">
        <v>117</v>
      </c>
      <c r="H3094" t="s">
        <v>799</v>
      </c>
      <c r="I3094" t="str">
        <f>"101050001939849"</f>
        <v>101050001939849</v>
      </c>
      <c r="J3094" t="str">
        <f t="shared" si="580"/>
        <v>126485</v>
      </c>
      <c r="K3094" t="s">
        <v>49</v>
      </c>
      <c r="L3094">
        <v>49</v>
      </c>
      <c r="M3094">
        <v>49</v>
      </c>
      <c r="N3094">
        <v>0</v>
      </c>
      <c r="O3094" s="1">
        <v>45581.546759259261</v>
      </c>
      <c r="P3094" t="s">
        <v>119</v>
      </c>
    </row>
    <row r="3095" spans="1:16" x14ac:dyDescent="0.3">
      <c r="A3095" t="s">
        <v>25</v>
      </c>
      <c r="B3095" s="1">
        <v>45581.545972222222</v>
      </c>
      <c r="C3095" t="str">
        <f>"38"</f>
        <v>38</v>
      </c>
      <c r="D3095" t="s">
        <v>115</v>
      </c>
      <c r="E3095" t="s">
        <v>116</v>
      </c>
      <c r="F3095" t="s">
        <v>117</v>
      </c>
      <c r="H3095" t="s">
        <v>800</v>
      </c>
      <c r="L3095">
        <v>0</v>
      </c>
      <c r="M3095">
        <v>0</v>
      </c>
      <c r="N3095">
        <v>0</v>
      </c>
      <c r="O3095" s="1">
        <v>45581.545972222222</v>
      </c>
      <c r="P3095" t="s">
        <v>122</v>
      </c>
    </row>
    <row r="3096" spans="1:16" x14ac:dyDescent="0.3">
      <c r="A3096" t="s">
        <v>25</v>
      </c>
      <c r="B3096" s="1">
        <v>45581.545972222222</v>
      </c>
      <c r="C3096" t="str">
        <f t="shared" ref="C3096:C3102" si="581">"41"</f>
        <v>41</v>
      </c>
      <c r="D3096" t="s">
        <v>120</v>
      </c>
      <c r="E3096" t="s">
        <v>116</v>
      </c>
      <c r="F3096" t="s">
        <v>117</v>
      </c>
      <c r="H3096" t="s">
        <v>800</v>
      </c>
      <c r="I3096" t="str">
        <f>"101050002024382"</f>
        <v>101050002024382</v>
      </c>
      <c r="J3096" t="str">
        <f t="shared" ref="J3096:J3102" si="582">"514475"</f>
        <v>514475</v>
      </c>
      <c r="K3096" t="s">
        <v>23</v>
      </c>
      <c r="L3096">
        <v>49</v>
      </c>
      <c r="M3096">
        <v>49</v>
      </c>
      <c r="N3096">
        <v>0</v>
      </c>
      <c r="O3096" s="1">
        <v>45581.545972222222</v>
      </c>
      <c r="P3096" t="s">
        <v>122</v>
      </c>
    </row>
    <row r="3097" spans="1:16" x14ac:dyDescent="0.3">
      <c r="A3097" t="s">
        <v>25</v>
      </c>
      <c r="B3097" s="1">
        <v>45581.545960648145</v>
      </c>
      <c r="C3097" t="str">
        <f t="shared" si="581"/>
        <v>41</v>
      </c>
      <c r="D3097" t="s">
        <v>120</v>
      </c>
      <c r="E3097" t="s">
        <v>116</v>
      </c>
      <c r="F3097" t="s">
        <v>117</v>
      </c>
      <c r="H3097" t="s">
        <v>800</v>
      </c>
      <c r="I3097" t="str">
        <f>"101050002024087"</f>
        <v>101050002024087</v>
      </c>
      <c r="J3097" t="str">
        <f t="shared" si="582"/>
        <v>514475</v>
      </c>
      <c r="K3097" t="s">
        <v>23</v>
      </c>
      <c r="L3097">
        <v>49</v>
      </c>
      <c r="M3097">
        <v>49</v>
      </c>
      <c r="N3097">
        <v>0</v>
      </c>
      <c r="O3097" s="1">
        <v>45581.545960648145</v>
      </c>
      <c r="P3097" t="s">
        <v>122</v>
      </c>
    </row>
    <row r="3098" spans="1:16" x14ac:dyDescent="0.3">
      <c r="A3098" t="s">
        <v>25</v>
      </c>
      <c r="B3098" s="1">
        <v>45581.545960648145</v>
      </c>
      <c r="C3098" t="str">
        <f t="shared" si="581"/>
        <v>41</v>
      </c>
      <c r="D3098" t="s">
        <v>120</v>
      </c>
      <c r="E3098" t="s">
        <v>116</v>
      </c>
      <c r="F3098" t="s">
        <v>117</v>
      </c>
      <c r="H3098" t="s">
        <v>800</v>
      </c>
      <c r="I3098" t="str">
        <f>"101050002012685"</f>
        <v>101050002012685</v>
      </c>
      <c r="J3098" t="str">
        <f t="shared" si="582"/>
        <v>514475</v>
      </c>
      <c r="K3098" t="s">
        <v>23</v>
      </c>
      <c r="L3098">
        <v>49</v>
      </c>
      <c r="M3098">
        <v>49</v>
      </c>
      <c r="N3098">
        <v>0</v>
      </c>
      <c r="O3098" s="1">
        <v>45581.545960648145</v>
      </c>
      <c r="P3098" t="s">
        <v>122</v>
      </c>
    </row>
    <row r="3099" spans="1:16" x14ac:dyDescent="0.3">
      <c r="A3099" t="s">
        <v>25</v>
      </c>
      <c r="B3099" s="1">
        <v>45581.545960648145</v>
      </c>
      <c r="C3099" t="str">
        <f t="shared" si="581"/>
        <v>41</v>
      </c>
      <c r="D3099" t="s">
        <v>120</v>
      </c>
      <c r="E3099" t="s">
        <v>116</v>
      </c>
      <c r="F3099" t="s">
        <v>117</v>
      </c>
      <c r="H3099" t="s">
        <v>800</v>
      </c>
      <c r="I3099" t="str">
        <f>"101050002012684"</f>
        <v>101050002012684</v>
      </c>
      <c r="J3099" t="str">
        <f t="shared" si="582"/>
        <v>514475</v>
      </c>
      <c r="K3099" t="s">
        <v>23</v>
      </c>
      <c r="L3099">
        <v>49</v>
      </c>
      <c r="M3099">
        <v>49</v>
      </c>
      <c r="N3099">
        <v>0</v>
      </c>
      <c r="O3099" s="1">
        <v>45581.545960648145</v>
      </c>
      <c r="P3099" t="s">
        <v>122</v>
      </c>
    </row>
    <row r="3100" spans="1:16" x14ac:dyDescent="0.3">
      <c r="A3100" t="s">
        <v>25</v>
      </c>
      <c r="B3100" s="1">
        <v>45581.545960648145</v>
      </c>
      <c r="C3100" t="str">
        <f t="shared" si="581"/>
        <v>41</v>
      </c>
      <c r="D3100" t="s">
        <v>120</v>
      </c>
      <c r="E3100" t="s">
        <v>116</v>
      </c>
      <c r="F3100" t="s">
        <v>117</v>
      </c>
      <c r="H3100" t="s">
        <v>800</v>
      </c>
      <c r="I3100" t="str">
        <f>"101050002012683"</f>
        <v>101050002012683</v>
      </c>
      <c r="J3100" t="str">
        <f t="shared" si="582"/>
        <v>514475</v>
      </c>
      <c r="K3100" t="s">
        <v>23</v>
      </c>
      <c r="L3100">
        <v>49</v>
      </c>
      <c r="M3100">
        <v>49</v>
      </c>
      <c r="N3100">
        <v>0</v>
      </c>
      <c r="O3100" s="1">
        <v>45581.545960648145</v>
      </c>
      <c r="P3100" t="s">
        <v>122</v>
      </c>
    </row>
    <row r="3101" spans="1:16" x14ac:dyDescent="0.3">
      <c r="A3101" t="s">
        <v>25</v>
      </c>
      <c r="B3101" s="1">
        <v>45581.545960648145</v>
      </c>
      <c r="C3101" t="str">
        <f t="shared" si="581"/>
        <v>41</v>
      </c>
      <c r="D3101" t="s">
        <v>120</v>
      </c>
      <c r="E3101" t="s">
        <v>116</v>
      </c>
      <c r="F3101" t="s">
        <v>117</v>
      </c>
      <c r="H3101" t="s">
        <v>800</v>
      </c>
      <c r="I3101" t="str">
        <f>"101050002003885"</f>
        <v>101050002003885</v>
      </c>
      <c r="J3101" t="str">
        <f t="shared" si="582"/>
        <v>514475</v>
      </c>
      <c r="K3101" t="s">
        <v>23</v>
      </c>
      <c r="L3101">
        <v>49</v>
      </c>
      <c r="M3101">
        <v>49</v>
      </c>
      <c r="N3101">
        <v>0</v>
      </c>
      <c r="O3101" s="1">
        <v>45581.545960648145</v>
      </c>
      <c r="P3101" t="s">
        <v>122</v>
      </c>
    </row>
    <row r="3102" spans="1:16" x14ac:dyDescent="0.3">
      <c r="A3102" t="s">
        <v>25</v>
      </c>
      <c r="B3102" s="1">
        <v>45581.545960648145</v>
      </c>
      <c r="C3102" t="str">
        <f t="shared" si="581"/>
        <v>41</v>
      </c>
      <c r="D3102" t="s">
        <v>120</v>
      </c>
      <c r="E3102" t="s">
        <v>116</v>
      </c>
      <c r="F3102" t="s">
        <v>117</v>
      </c>
      <c r="H3102" t="s">
        <v>800</v>
      </c>
      <c r="I3102" t="str">
        <f>"101050002003814"</f>
        <v>101050002003814</v>
      </c>
      <c r="J3102" t="str">
        <f t="shared" si="582"/>
        <v>514475</v>
      </c>
      <c r="K3102" t="s">
        <v>23</v>
      </c>
      <c r="L3102">
        <v>49</v>
      </c>
      <c r="M3102">
        <v>49</v>
      </c>
      <c r="N3102">
        <v>0</v>
      </c>
      <c r="O3102" s="1">
        <v>45581.545960648145</v>
      </c>
      <c r="P3102" t="s">
        <v>122</v>
      </c>
    </row>
    <row r="3103" spans="1:16" x14ac:dyDescent="0.3">
      <c r="A3103" t="s">
        <v>25</v>
      </c>
      <c r="B3103" s="1">
        <v>45581.544340277775</v>
      </c>
      <c r="C3103" t="str">
        <f>"38"</f>
        <v>38</v>
      </c>
      <c r="D3103" t="s">
        <v>115</v>
      </c>
      <c r="E3103" t="s">
        <v>116</v>
      </c>
      <c r="F3103" t="s">
        <v>117</v>
      </c>
      <c r="H3103" t="s">
        <v>801</v>
      </c>
      <c r="L3103">
        <v>0</v>
      </c>
      <c r="M3103">
        <v>0</v>
      </c>
      <c r="N3103">
        <v>0</v>
      </c>
      <c r="O3103" s="1">
        <v>45581.544340277775</v>
      </c>
      <c r="P3103" t="s">
        <v>119</v>
      </c>
    </row>
    <row r="3104" spans="1:16" x14ac:dyDescent="0.3">
      <c r="A3104" t="s">
        <v>25</v>
      </c>
      <c r="B3104" s="1">
        <v>45581.544340277775</v>
      </c>
      <c r="C3104" t="str">
        <f t="shared" ref="C3104:C3110" si="583">"41"</f>
        <v>41</v>
      </c>
      <c r="D3104" t="s">
        <v>120</v>
      </c>
      <c r="E3104" t="s">
        <v>116</v>
      </c>
      <c r="F3104" t="s">
        <v>117</v>
      </c>
      <c r="H3104" t="s">
        <v>801</v>
      </c>
      <c r="I3104" t="str">
        <f>"101050002003783"</f>
        <v>101050002003783</v>
      </c>
      <c r="J3104" t="str">
        <f t="shared" ref="J3104:J3110" si="584">"514475"</f>
        <v>514475</v>
      </c>
      <c r="K3104" t="s">
        <v>23</v>
      </c>
      <c r="L3104">
        <v>49</v>
      </c>
      <c r="M3104">
        <v>49</v>
      </c>
      <c r="N3104">
        <v>0</v>
      </c>
      <c r="O3104" s="1">
        <v>45581.544340277775</v>
      </c>
      <c r="P3104" t="s">
        <v>119</v>
      </c>
    </row>
    <row r="3105" spans="1:16" x14ac:dyDescent="0.3">
      <c r="A3105" t="s">
        <v>25</v>
      </c>
      <c r="B3105" s="1">
        <v>45581.544340277775</v>
      </c>
      <c r="C3105" t="str">
        <f t="shared" si="583"/>
        <v>41</v>
      </c>
      <c r="D3105" t="s">
        <v>120</v>
      </c>
      <c r="E3105" t="s">
        <v>116</v>
      </c>
      <c r="F3105" t="s">
        <v>117</v>
      </c>
      <c r="H3105" t="s">
        <v>801</v>
      </c>
      <c r="I3105" t="str">
        <f>"101050002024490"</f>
        <v>101050002024490</v>
      </c>
      <c r="J3105" t="str">
        <f t="shared" si="584"/>
        <v>514475</v>
      </c>
      <c r="K3105" t="s">
        <v>23</v>
      </c>
      <c r="L3105">
        <v>49</v>
      </c>
      <c r="M3105">
        <v>49</v>
      </c>
      <c r="N3105">
        <v>0</v>
      </c>
      <c r="O3105" s="1">
        <v>45581.544340277775</v>
      </c>
      <c r="P3105" t="s">
        <v>119</v>
      </c>
    </row>
    <row r="3106" spans="1:16" x14ac:dyDescent="0.3">
      <c r="A3106" t="s">
        <v>25</v>
      </c>
      <c r="B3106" s="1">
        <v>45581.544328703705</v>
      </c>
      <c r="C3106" t="str">
        <f t="shared" si="583"/>
        <v>41</v>
      </c>
      <c r="D3106" t="s">
        <v>120</v>
      </c>
      <c r="E3106" t="s">
        <v>116</v>
      </c>
      <c r="F3106" t="s">
        <v>117</v>
      </c>
      <c r="H3106" t="s">
        <v>801</v>
      </c>
      <c r="I3106" t="str">
        <f>"101050002003478"</f>
        <v>101050002003478</v>
      </c>
      <c r="J3106" t="str">
        <f t="shared" si="584"/>
        <v>514475</v>
      </c>
      <c r="K3106" t="s">
        <v>23</v>
      </c>
      <c r="L3106">
        <v>49</v>
      </c>
      <c r="M3106">
        <v>49</v>
      </c>
      <c r="N3106">
        <v>0</v>
      </c>
      <c r="O3106" s="1">
        <v>45581.544328703705</v>
      </c>
      <c r="P3106" t="s">
        <v>119</v>
      </c>
    </row>
    <row r="3107" spans="1:16" x14ac:dyDescent="0.3">
      <c r="A3107" t="s">
        <v>25</v>
      </c>
      <c r="B3107" s="1">
        <v>45581.544328703705</v>
      </c>
      <c r="C3107" t="str">
        <f t="shared" si="583"/>
        <v>41</v>
      </c>
      <c r="D3107" t="s">
        <v>120</v>
      </c>
      <c r="E3107" t="s">
        <v>116</v>
      </c>
      <c r="F3107" t="s">
        <v>117</v>
      </c>
      <c r="H3107" t="s">
        <v>801</v>
      </c>
      <c r="I3107" t="str">
        <f>"101050002003815"</f>
        <v>101050002003815</v>
      </c>
      <c r="J3107" t="str">
        <f t="shared" si="584"/>
        <v>514475</v>
      </c>
      <c r="K3107" t="s">
        <v>23</v>
      </c>
      <c r="L3107">
        <v>49</v>
      </c>
      <c r="M3107">
        <v>49</v>
      </c>
      <c r="N3107">
        <v>0</v>
      </c>
      <c r="O3107" s="1">
        <v>45581.544328703705</v>
      </c>
      <c r="P3107" t="s">
        <v>119</v>
      </c>
    </row>
    <row r="3108" spans="1:16" x14ac:dyDescent="0.3">
      <c r="A3108" t="s">
        <v>25</v>
      </c>
      <c r="B3108" s="1">
        <v>45581.544328703705</v>
      </c>
      <c r="C3108" t="str">
        <f t="shared" si="583"/>
        <v>41</v>
      </c>
      <c r="D3108" t="s">
        <v>120</v>
      </c>
      <c r="E3108" t="s">
        <v>116</v>
      </c>
      <c r="F3108" t="s">
        <v>117</v>
      </c>
      <c r="H3108" t="s">
        <v>801</v>
      </c>
      <c r="I3108" t="str">
        <f>"101050002003481"</f>
        <v>101050002003481</v>
      </c>
      <c r="J3108" t="str">
        <f t="shared" si="584"/>
        <v>514475</v>
      </c>
      <c r="K3108" t="s">
        <v>23</v>
      </c>
      <c r="L3108">
        <v>49</v>
      </c>
      <c r="M3108">
        <v>49</v>
      </c>
      <c r="N3108">
        <v>0</v>
      </c>
      <c r="O3108" s="1">
        <v>45581.544328703705</v>
      </c>
      <c r="P3108" t="s">
        <v>119</v>
      </c>
    </row>
    <row r="3109" spans="1:16" x14ac:dyDescent="0.3">
      <c r="A3109" t="s">
        <v>25</v>
      </c>
      <c r="B3109" s="1">
        <v>45581.544328703705</v>
      </c>
      <c r="C3109" t="str">
        <f t="shared" si="583"/>
        <v>41</v>
      </c>
      <c r="D3109" t="s">
        <v>120</v>
      </c>
      <c r="E3109" t="s">
        <v>116</v>
      </c>
      <c r="F3109" t="s">
        <v>117</v>
      </c>
      <c r="H3109" t="s">
        <v>801</v>
      </c>
      <c r="I3109" t="str">
        <f>"101050002003782"</f>
        <v>101050002003782</v>
      </c>
      <c r="J3109" t="str">
        <f t="shared" si="584"/>
        <v>514475</v>
      </c>
      <c r="K3109" t="s">
        <v>23</v>
      </c>
      <c r="L3109">
        <v>49</v>
      </c>
      <c r="M3109">
        <v>49</v>
      </c>
      <c r="N3109">
        <v>0</v>
      </c>
      <c r="O3109" s="1">
        <v>45581.544328703705</v>
      </c>
      <c r="P3109" t="s">
        <v>119</v>
      </c>
    </row>
    <row r="3110" spans="1:16" x14ac:dyDescent="0.3">
      <c r="A3110" t="s">
        <v>25</v>
      </c>
      <c r="B3110" s="1">
        <v>45581.544328703705</v>
      </c>
      <c r="C3110" t="str">
        <f t="shared" si="583"/>
        <v>41</v>
      </c>
      <c r="D3110" t="s">
        <v>120</v>
      </c>
      <c r="E3110" t="s">
        <v>116</v>
      </c>
      <c r="F3110" t="s">
        <v>117</v>
      </c>
      <c r="H3110" t="s">
        <v>801</v>
      </c>
      <c r="I3110" t="str">
        <f>"101050002003393"</f>
        <v>101050002003393</v>
      </c>
      <c r="J3110" t="str">
        <f t="shared" si="584"/>
        <v>514475</v>
      </c>
      <c r="K3110" t="s">
        <v>23</v>
      </c>
      <c r="L3110">
        <v>49</v>
      </c>
      <c r="M3110">
        <v>49</v>
      </c>
      <c r="N3110">
        <v>0</v>
      </c>
      <c r="O3110" s="1">
        <v>45581.544328703705</v>
      </c>
      <c r="P3110" t="s">
        <v>119</v>
      </c>
    </row>
    <row r="3111" spans="1:16" x14ac:dyDescent="0.3">
      <c r="A3111" t="s">
        <v>25</v>
      </c>
      <c r="B3111" s="1">
        <v>45581.54409722222</v>
      </c>
      <c r="C3111" t="str">
        <f>"38"</f>
        <v>38</v>
      </c>
      <c r="D3111" t="s">
        <v>115</v>
      </c>
      <c r="E3111" t="s">
        <v>116</v>
      </c>
      <c r="F3111" t="s">
        <v>117</v>
      </c>
      <c r="H3111" t="s">
        <v>802</v>
      </c>
      <c r="L3111">
        <v>0</v>
      </c>
      <c r="M3111">
        <v>0</v>
      </c>
      <c r="N3111">
        <v>0</v>
      </c>
      <c r="O3111" s="1">
        <v>45581.54409722222</v>
      </c>
      <c r="P3111" t="s">
        <v>138</v>
      </c>
    </row>
    <row r="3112" spans="1:16" x14ac:dyDescent="0.3">
      <c r="A3112" t="s">
        <v>25</v>
      </c>
      <c r="B3112" s="1">
        <v>45581.54409722222</v>
      </c>
      <c r="C3112" t="str">
        <f t="shared" ref="C3112:C3118" si="585">"41"</f>
        <v>41</v>
      </c>
      <c r="D3112" t="s">
        <v>120</v>
      </c>
      <c r="E3112" t="s">
        <v>116</v>
      </c>
      <c r="F3112" t="s">
        <v>117</v>
      </c>
      <c r="H3112" t="s">
        <v>802</v>
      </c>
      <c r="I3112" t="str">
        <f>"101050002003292"</f>
        <v>101050002003292</v>
      </c>
      <c r="J3112" t="str">
        <f t="shared" ref="J3112:J3118" si="586">"514475"</f>
        <v>514475</v>
      </c>
      <c r="K3112" t="s">
        <v>23</v>
      </c>
      <c r="L3112">
        <v>49</v>
      </c>
      <c r="M3112">
        <v>49</v>
      </c>
      <c r="N3112">
        <v>0</v>
      </c>
      <c r="O3112" s="1">
        <v>45581.54409722222</v>
      </c>
      <c r="P3112" t="s">
        <v>138</v>
      </c>
    </row>
    <row r="3113" spans="1:16" x14ac:dyDescent="0.3">
      <c r="A3113" t="s">
        <v>25</v>
      </c>
      <c r="B3113" s="1">
        <v>45581.54409722222</v>
      </c>
      <c r="C3113" t="str">
        <f t="shared" si="585"/>
        <v>41</v>
      </c>
      <c r="D3113" t="s">
        <v>120</v>
      </c>
      <c r="E3113" t="s">
        <v>116</v>
      </c>
      <c r="F3113" t="s">
        <v>117</v>
      </c>
      <c r="H3113" t="s">
        <v>802</v>
      </c>
      <c r="I3113" t="str">
        <f>"101050002002999"</f>
        <v>101050002002999</v>
      </c>
      <c r="J3113" t="str">
        <f t="shared" si="586"/>
        <v>514475</v>
      </c>
      <c r="K3113" t="s">
        <v>23</v>
      </c>
      <c r="L3113">
        <v>49</v>
      </c>
      <c r="M3113">
        <v>49</v>
      </c>
      <c r="N3113">
        <v>0</v>
      </c>
      <c r="O3113" s="1">
        <v>45581.54409722222</v>
      </c>
      <c r="P3113" t="s">
        <v>138</v>
      </c>
    </row>
    <row r="3114" spans="1:16" x14ac:dyDescent="0.3">
      <c r="A3114" t="s">
        <v>25</v>
      </c>
      <c r="B3114" s="1">
        <v>45581.544085648151</v>
      </c>
      <c r="C3114" t="str">
        <f t="shared" si="585"/>
        <v>41</v>
      </c>
      <c r="D3114" t="s">
        <v>120</v>
      </c>
      <c r="E3114" t="s">
        <v>116</v>
      </c>
      <c r="F3114" t="s">
        <v>117</v>
      </c>
      <c r="H3114" t="s">
        <v>802</v>
      </c>
      <c r="I3114" t="str">
        <f>"101050001976282"</f>
        <v>101050001976282</v>
      </c>
      <c r="J3114" t="str">
        <f t="shared" si="586"/>
        <v>514475</v>
      </c>
      <c r="K3114" t="s">
        <v>23</v>
      </c>
      <c r="L3114">
        <v>49</v>
      </c>
      <c r="M3114">
        <v>49</v>
      </c>
      <c r="N3114">
        <v>0</v>
      </c>
      <c r="O3114" s="1">
        <v>45581.544085648151</v>
      </c>
      <c r="P3114" t="s">
        <v>138</v>
      </c>
    </row>
    <row r="3115" spans="1:16" x14ac:dyDescent="0.3">
      <c r="A3115" t="s">
        <v>25</v>
      </c>
      <c r="B3115" s="1">
        <v>45581.544085648151</v>
      </c>
      <c r="C3115" t="str">
        <f t="shared" si="585"/>
        <v>41</v>
      </c>
      <c r="D3115" t="s">
        <v>120</v>
      </c>
      <c r="E3115" t="s">
        <v>116</v>
      </c>
      <c r="F3115" t="s">
        <v>117</v>
      </c>
      <c r="H3115" t="s">
        <v>802</v>
      </c>
      <c r="I3115" t="str">
        <f>"101050001976425"</f>
        <v>101050001976425</v>
      </c>
      <c r="J3115" t="str">
        <f t="shared" si="586"/>
        <v>514475</v>
      </c>
      <c r="K3115" t="s">
        <v>23</v>
      </c>
      <c r="L3115">
        <v>49</v>
      </c>
      <c r="M3115">
        <v>49</v>
      </c>
      <c r="N3115">
        <v>0</v>
      </c>
      <c r="O3115" s="1">
        <v>45581.544085648151</v>
      </c>
      <c r="P3115" t="s">
        <v>138</v>
      </c>
    </row>
    <row r="3116" spans="1:16" x14ac:dyDescent="0.3">
      <c r="A3116" t="s">
        <v>25</v>
      </c>
      <c r="B3116" s="1">
        <v>45581.544085648151</v>
      </c>
      <c r="C3116" t="str">
        <f t="shared" si="585"/>
        <v>41</v>
      </c>
      <c r="D3116" t="s">
        <v>120</v>
      </c>
      <c r="E3116" t="s">
        <v>116</v>
      </c>
      <c r="F3116" t="s">
        <v>117</v>
      </c>
      <c r="H3116" t="s">
        <v>802</v>
      </c>
      <c r="I3116" t="str">
        <f>"101050001974268"</f>
        <v>101050001974268</v>
      </c>
      <c r="J3116" t="str">
        <f t="shared" si="586"/>
        <v>514475</v>
      </c>
      <c r="K3116" t="s">
        <v>23</v>
      </c>
      <c r="L3116">
        <v>49</v>
      </c>
      <c r="M3116">
        <v>49</v>
      </c>
      <c r="N3116">
        <v>0</v>
      </c>
      <c r="O3116" s="1">
        <v>45581.544085648151</v>
      </c>
      <c r="P3116" t="s">
        <v>138</v>
      </c>
    </row>
    <row r="3117" spans="1:16" x14ac:dyDescent="0.3">
      <c r="A3117" t="s">
        <v>25</v>
      </c>
      <c r="B3117" s="1">
        <v>45581.544085648151</v>
      </c>
      <c r="C3117" t="str">
        <f t="shared" si="585"/>
        <v>41</v>
      </c>
      <c r="D3117" t="s">
        <v>120</v>
      </c>
      <c r="E3117" t="s">
        <v>116</v>
      </c>
      <c r="F3117" t="s">
        <v>117</v>
      </c>
      <c r="H3117" t="s">
        <v>802</v>
      </c>
      <c r="I3117" t="str">
        <f>"101050001974269"</f>
        <v>101050001974269</v>
      </c>
      <c r="J3117" t="str">
        <f t="shared" si="586"/>
        <v>514475</v>
      </c>
      <c r="K3117" t="s">
        <v>23</v>
      </c>
      <c r="L3117">
        <v>49</v>
      </c>
      <c r="M3117">
        <v>49</v>
      </c>
      <c r="N3117">
        <v>0</v>
      </c>
      <c r="O3117" s="1">
        <v>45581.544085648151</v>
      </c>
      <c r="P3117" t="s">
        <v>138</v>
      </c>
    </row>
    <row r="3118" spans="1:16" x14ac:dyDescent="0.3">
      <c r="A3118" t="s">
        <v>25</v>
      </c>
      <c r="B3118" s="1">
        <v>45581.544085648151</v>
      </c>
      <c r="C3118" t="str">
        <f t="shared" si="585"/>
        <v>41</v>
      </c>
      <c r="D3118" t="s">
        <v>120</v>
      </c>
      <c r="E3118" t="s">
        <v>116</v>
      </c>
      <c r="F3118" t="s">
        <v>117</v>
      </c>
      <c r="H3118" t="s">
        <v>802</v>
      </c>
      <c r="I3118" t="str">
        <f>"101050001974391"</f>
        <v>101050001974391</v>
      </c>
      <c r="J3118" t="str">
        <f t="shared" si="586"/>
        <v>514475</v>
      </c>
      <c r="K3118" t="s">
        <v>23</v>
      </c>
      <c r="L3118">
        <v>49</v>
      </c>
      <c r="M3118">
        <v>49</v>
      </c>
      <c r="N3118">
        <v>0</v>
      </c>
      <c r="O3118" s="1">
        <v>45581.544085648151</v>
      </c>
      <c r="P3118" t="s">
        <v>138</v>
      </c>
    </row>
    <row r="3119" spans="1:16" x14ac:dyDescent="0.3">
      <c r="A3119" t="s">
        <v>25</v>
      </c>
      <c r="B3119" s="1">
        <v>45581.542662037034</v>
      </c>
      <c r="C3119" t="str">
        <f>"38"</f>
        <v>38</v>
      </c>
      <c r="D3119" t="s">
        <v>115</v>
      </c>
      <c r="E3119" t="s">
        <v>116</v>
      </c>
      <c r="F3119" t="s">
        <v>117</v>
      </c>
      <c r="H3119" t="s">
        <v>803</v>
      </c>
      <c r="L3119">
        <v>0</v>
      </c>
      <c r="M3119">
        <v>0</v>
      </c>
      <c r="N3119">
        <v>0</v>
      </c>
      <c r="O3119" s="1">
        <v>45581.542662037034</v>
      </c>
      <c r="P3119" t="s">
        <v>138</v>
      </c>
    </row>
    <row r="3120" spans="1:16" x14ac:dyDescent="0.3">
      <c r="A3120" t="s">
        <v>25</v>
      </c>
      <c r="B3120" s="1">
        <v>45581.542662037034</v>
      </c>
      <c r="C3120" t="str">
        <f t="shared" ref="C3120:C3126" si="587">"41"</f>
        <v>41</v>
      </c>
      <c r="D3120" t="s">
        <v>120</v>
      </c>
      <c r="E3120" t="s">
        <v>116</v>
      </c>
      <c r="F3120" t="s">
        <v>117</v>
      </c>
      <c r="H3120" t="s">
        <v>803</v>
      </c>
      <c r="I3120" t="str">
        <f>"101050002020737"</f>
        <v>101050002020737</v>
      </c>
      <c r="J3120" t="str">
        <f t="shared" ref="J3120:J3126" si="588">"127924"</f>
        <v>127924</v>
      </c>
      <c r="K3120" t="s">
        <v>3</v>
      </c>
      <c r="L3120">
        <v>49</v>
      </c>
      <c r="M3120">
        <v>49</v>
      </c>
      <c r="N3120">
        <v>0</v>
      </c>
      <c r="O3120" s="1">
        <v>45581.542662037034</v>
      </c>
      <c r="P3120" t="s">
        <v>138</v>
      </c>
    </row>
    <row r="3121" spans="1:16" x14ac:dyDescent="0.3">
      <c r="A3121" t="s">
        <v>25</v>
      </c>
      <c r="B3121" s="1">
        <v>45581.542662037034</v>
      </c>
      <c r="C3121" t="str">
        <f t="shared" si="587"/>
        <v>41</v>
      </c>
      <c r="D3121" t="s">
        <v>120</v>
      </c>
      <c r="E3121" t="s">
        <v>116</v>
      </c>
      <c r="F3121" t="s">
        <v>117</v>
      </c>
      <c r="H3121" t="s">
        <v>803</v>
      </c>
      <c r="I3121" t="str">
        <f>"101050002020579"</f>
        <v>101050002020579</v>
      </c>
      <c r="J3121" t="str">
        <f t="shared" si="588"/>
        <v>127924</v>
      </c>
      <c r="K3121" t="s">
        <v>3</v>
      </c>
      <c r="L3121">
        <v>49</v>
      </c>
      <c r="M3121">
        <v>49</v>
      </c>
      <c r="N3121">
        <v>0</v>
      </c>
      <c r="O3121" s="1">
        <v>45581.542662037034</v>
      </c>
      <c r="P3121" t="s">
        <v>138</v>
      </c>
    </row>
    <row r="3122" spans="1:16" x14ac:dyDescent="0.3">
      <c r="A3122" t="s">
        <v>25</v>
      </c>
      <c r="B3122" s="1">
        <v>45581.542662037034</v>
      </c>
      <c r="C3122" t="str">
        <f t="shared" si="587"/>
        <v>41</v>
      </c>
      <c r="D3122" t="s">
        <v>120</v>
      </c>
      <c r="E3122" t="s">
        <v>116</v>
      </c>
      <c r="F3122" t="s">
        <v>117</v>
      </c>
      <c r="H3122" t="s">
        <v>803</v>
      </c>
      <c r="I3122" t="str">
        <f>"101050002020578"</f>
        <v>101050002020578</v>
      </c>
      <c r="J3122" t="str">
        <f t="shared" si="588"/>
        <v>127924</v>
      </c>
      <c r="K3122" t="s">
        <v>3</v>
      </c>
      <c r="L3122">
        <v>49</v>
      </c>
      <c r="M3122">
        <v>49</v>
      </c>
      <c r="N3122">
        <v>0</v>
      </c>
      <c r="O3122" s="1">
        <v>45581.542662037034</v>
      </c>
      <c r="P3122" t="s">
        <v>138</v>
      </c>
    </row>
    <row r="3123" spans="1:16" x14ac:dyDescent="0.3">
      <c r="A3123" t="s">
        <v>25</v>
      </c>
      <c r="B3123" s="1">
        <v>45581.542662037034</v>
      </c>
      <c r="C3123" t="str">
        <f t="shared" si="587"/>
        <v>41</v>
      </c>
      <c r="D3123" t="s">
        <v>120</v>
      </c>
      <c r="E3123" t="s">
        <v>116</v>
      </c>
      <c r="F3123" t="s">
        <v>117</v>
      </c>
      <c r="H3123" t="s">
        <v>803</v>
      </c>
      <c r="I3123" t="str">
        <f>"101050002020514"</f>
        <v>101050002020514</v>
      </c>
      <c r="J3123" t="str">
        <f t="shared" si="588"/>
        <v>127924</v>
      </c>
      <c r="K3123" t="s">
        <v>3</v>
      </c>
      <c r="L3123">
        <v>49</v>
      </c>
      <c r="M3123">
        <v>49</v>
      </c>
      <c r="N3123">
        <v>0</v>
      </c>
      <c r="O3123" s="1">
        <v>45581.542662037034</v>
      </c>
      <c r="P3123" t="s">
        <v>138</v>
      </c>
    </row>
    <row r="3124" spans="1:16" x14ac:dyDescent="0.3">
      <c r="A3124" t="s">
        <v>25</v>
      </c>
      <c r="B3124" s="1">
        <v>45581.542650462965</v>
      </c>
      <c r="C3124" t="str">
        <f t="shared" si="587"/>
        <v>41</v>
      </c>
      <c r="D3124" t="s">
        <v>120</v>
      </c>
      <c r="E3124" t="s">
        <v>116</v>
      </c>
      <c r="F3124" t="s">
        <v>117</v>
      </c>
      <c r="H3124" t="s">
        <v>803</v>
      </c>
      <c r="I3124" t="str">
        <f>"101050002020511"</f>
        <v>101050002020511</v>
      </c>
      <c r="J3124" t="str">
        <f t="shared" si="588"/>
        <v>127924</v>
      </c>
      <c r="K3124" t="s">
        <v>3</v>
      </c>
      <c r="L3124">
        <v>49</v>
      </c>
      <c r="M3124">
        <v>49</v>
      </c>
      <c r="N3124">
        <v>0</v>
      </c>
      <c r="O3124" s="1">
        <v>45581.542650462965</v>
      </c>
      <c r="P3124" t="s">
        <v>138</v>
      </c>
    </row>
    <row r="3125" spans="1:16" x14ac:dyDescent="0.3">
      <c r="A3125" t="s">
        <v>25</v>
      </c>
      <c r="B3125" s="1">
        <v>45581.542650462965</v>
      </c>
      <c r="C3125" t="str">
        <f t="shared" si="587"/>
        <v>41</v>
      </c>
      <c r="D3125" t="s">
        <v>120</v>
      </c>
      <c r="E3125" t="s">
        <v>116</v>
      </c>
      <c r="F3125" t="s">
        <v>117</v>
      </c>
      <c r="H3125" t="s">
        <v>803</v>
      </c>
      <c r="I3125" t="str">
        <f>"101050002020510"</f>
        <v>101050002020510</v>
      </c>
      <c r="J3125" t="str">
        <f t="shared" si="588"/>
        <v>127924</v>
      </c>
      <c r="K3125" t="s">
        <v>3</v>
      </c>
      <c r="L3125">
        <v>49</v>
      </c>
      <c r="M3125">
        <v>49</v>
      </c>
      <c r="N3125">
        <v>0</v>
      </c>
      <c r="O3125" s="1">
        <v>45581.542650462965</v>
      </c>
      <c r="P3125" t="s">
        <v>138</v>
      </c>
    </row>
    <row r="3126" spans="1:16" x14ac:dyDescent="0.3">
      <c r="A3126" t="s">
        <v>25</v>
      </c>
      <c r="B3126" s="1">
        <v>45581.542650462965</v>
      </c>
      <c r="C3126" t="str">
        <f t="shared" si="587"/>
        <v>41</v>
      </c>
      <c r="D3126" t="s">
        <v>120</v>
      </c>
      <c r="E3126" t="s">
        <v>116</v>
      </c>
      <c r="F3126" t="s">
        <v>117</v>
      </c>
      <c r="H3126" t="s">
        <v>803</v>
      </c>
      <c r="I3126" t="str">
        <f>"101050002019993"</f>
        <v>101050002019993</v>
      </c>
      <c r="J3126" t="str">
        <f t="shared" si="588"/>
        <v>127924</v>
      </c>
      <c r="K3126" t="s">
        <v>3</v>
      </c>
      <c r="L3126">
        <v>49</v>
      </c>
      <c r="M3126">
        <v>49</v>
      </c>
      <c r="N3126">
        <v>0</v>
      </c>
      <c r="O3126" s="1">
        <v>45581.542650462965</v>
      </c>
      <c r="P3126" t="s">
        <v>138</v>
      </c>
    </row>
    <row r="3127" spans="1:16" x14ac:dyDescent="0.3">
      <c r="A3127" t="s">
        <v>25</v>
      </c>
      <c r="B3127" s="1">
        <v>45581.542581018519</v>
      </c>
      <c r="C3127" t="str">
        <f>"38"</f>
        <v>38</v>
      </c>
      <c r="D3127" t="s">
        <v>115</v>
      </c>
      <c r="E3127" t="s">
        <v>116</v>
      </c>
      <c r="F3127" t="s">
        <v>117</v>
      </c>
      <c r="H3127" t="s">
        <v>804</v>
      </c>
      <c r="L3127">
        <v>0</v>
      </c>
      <c r="M3127">
        <v>0</v>
      </c>
      <c r="N3127">
        <v>0</v>
      </c>
      <c r="O3127" s="1">
        <v>45581.542581018519</v>
      </c>
      <c r="P3127" t="s">
        <v>122</v>
      </c>
    </row>
    <row r="3128" spans="1:16" x14ac:dyDescent="0.3">
      <c r="A3128" t="s">
        <v>25</v>
      </c>
      <c r="B3128" s="1">
        <v>45581.542581018519</v>
      </c>
      <c r="C3128" t="str">
        <f t="shared" ref="C3128:C3134" si="589">"41"</f>
        <v>41</v>
      </c>
      <c r="D3128" t="s">
        <v>120</v>
      </c>
      <c r="E3128" t="s">
        <v>116</v>
      </c>
      <c r="F3128" t="s">
        <v>117</v>
      </c>
      <c r="H3128" t="s">
        <v>804</v>
      </c>
      <c r="I3128" t="str">
        <f>"101050002020196"</f>
        <v>101050002020196</v>
      </c>
      <c r="J3128" t="str">
        <f t="shared" ref="J3128:J3134" si="590">"514719"</f>
        <v>514719</v>
      </c>
      <c r="K3128" t="s">
        <v>0</v>
      </c>
      <c r="L3128">
        <v>49</v>
      </c>
      <c r="M3128">
        <v>49</v>
      </c>
      <c r="N3128">
        <v>0</v>
      </c>
      <c r="O3128" s="1">
        <v>45581.542581018519</v>
      </c>
      <c r="P3128" t="s">
        <v>122</v>
      </c>
    </row>
    <row r="3129" spans="1:16" x14ac:dyDescent="0.3">
      <c r="A3129" t="s">
        <v>25</v>
      </c>
      <c r="B3129" s="1">
        <v>45581.542581018519</v>
      </c>
      <c r="C3129" t="str">
        <f t="shared" si="589"/>
        <v>41</v>
      </c>
      <c r="D3129" t="s">
        <v>120</v>
      </c>
      <c r="E3129" t="s">
        <v>116</v>
      </c>
      <c r="F3129" t="s">
        <v>117</v>
      </c>
      <c r="H3129" t="s">
        <v>804</v>
      </c>
      <c r="I3129" t="str">
        <f>"101050002020452"</f>
        <v>101050002020452</v>
      </c>
      <c r="J3129" t="str">
        <f t="shared" si="590"/>
        <v>514719</v>
      </c>
      <c r="K3129" t="s">
        <v>0</v>
      </c>
      <c r="L3129">
        <v>49</v>
      </c>
      <c r="M3129">
        <v>49</v>
      </c>
      <c r="N3129">
        <v>0</v>
      </c>
      <c r="O3129" s="1">
        <v>45581.542581018519</v>
      </c>
      <c r="P3129" t="s">
        <v>122</v>
      </c>
    </row>
    <row r="3130" spans="1:16" x14ac:dyDescent="0.3">
      <c r="A3130" t="s">
        <v>25</v>
      </c>
      <c r="B3130" s="1">
        <v>45581.542581018519</v>
      </c>
      <c r="C3130" t="str">
        <f t="shared" si="589"/>
        <v>41</v>
      </c>
      <c r="D3130" t="s">
        <v>120</v>
      </c>
      <c r="E3130" t="s">
        <v>116</v>
      </c>
      <c r="F3130" t="s">
        <v>117</v>
      </c>
      <c r="H3130" t="s">
        <v>804</v>
      </c>
      <c r="I3130" t="str">
        <f>"101050002020296"</f>
        <v>101050002020296</v>
      </c>
      <c r="J3130" t="str">
        <f t="shared" si="590"/>
        <v>514719</v>
      </c>
      <c r="K3130" t="s">
        <v>0</v>
      </c>
      <c r="L3130">
        <v>49</v>
      </c>
      <c r="M3130">
        <v>49</v>
      </c>
      <c r="N3130">
        <v>0</v>
      </c>
      <c r="O3130" s="1">
        <v>45581.542581018519</v>
      </c>
      <c r="P3130" t="s">
        <v>122</v>
      </c>
    </row>
    <row r="3131" spans="1:16" x14ac:dyDescent="0.3">
      <c r="A3131" t="s">
        <v>25</v>
      </c>
      <c r="B3131" s="1">
        <v>45581.542581018519</v>
      </c>
      <c r="C3131" t="str">
        <f t="shared" si="589"/>
        <v>41</v>
      </c>
      <c r="D3131" t="s">
        <v>120</v>
      </c>
      <c r="E3131" t="s">
        <v>116</v>
      </c>
      <c r="F3131" t="s">
        <v>117</v>
      </c>
      <c r="H3131" t="s">
        <v>804</v>
      </c>
      <c r="I3131" t="str">
        <f>"101050002020364"</f>
        <v>101050002020364</v>
      </c>
      <c r="J3131" t="str">
        <f t="shared" si="590"/>
        <v>514719</v>
      </c>
      <c r="K3131" t="s">
        <v>0</v>
      </c>
      <c r="L3131">
        <v>49</v>
      </c>
      <c r="M3131">
        <v>49</v>
      </c>
      <c r="N3131">
        <v>0</v>
      </c>
      <c r="O3131" s="1">
        <v>45581.542581018519</v>
      </c>
      <c r="P3131" t="s">
        <v>122</v>
      </c>
    </row>
    <row r="3132" spans="1:16" x14ac:dyDescent="0.3">
      <c r="A3132" t="s">
        <v>25</v>
      </c>
      <c r="B3132" s="1">
        <v>45581.542581018519</v>
      </c>
      <c r="C3132" t="str">
        <f t="shared" si="589"/>
        <v>41</v>
      </c>
      <c r="D3132" t="s">
        <v>120</v>
      </c>
      <c r="E3132" t="s">
        <v>116</v>
      </c>
      <c r="F3132" t="s">
        <v>117</v>
      </c>
      <c r="H3132" t="s">
        <v>804</v>
      </c>
      <c r="I3132" t="str">
        <f>"101050002020293"</f>
        <v>101050002020293</v>
      </c>
      <c r="J3132" t="str">
        <f t="shared" si="590"/>
        <v>514719</v>
      </c>
      <c r="K3132" t="s">
        <v>0</v>
      </c>
      <c r="L3132">
        <v>49</v>
      </c>
      <c r="M3132">
        <v>49</v>
      </c>
      <c r="N3132">
        <v>0</v>
      </c>
      <c r="O3132" s="1">
        <v>45581.542581018519</v>
      </c>
      <c r="P3132" t="s">
        <v>122</v>
      </c>
    </row>
    <row r="3133" spans="1:16" x14ac:dyDescent="0.3">
      <c r="A3133" t="s">
        <v>25</v>
      </c>
      <c r="B3133" s="1">
        <v>45581.542581018519</v>
      </c>
      <c r="C3133" t="str">
        <f t="shared" si="589"/>
        <v>41</v>
      </c>
      <c r="D3133" t="s">
        <v>120</v>
      </c>
      <c r="E3133" t="s">
        <v>116</v>
      </c>
      <c r="F3133" t="s">
        <v>117</v>
      </c>
      <c r="H3133" t="s">
        <v>804</v>
      </c>
      <c r="I3133" t="str">
        <f>"101050002020290"</f>
        <v>101050002020290</v>
      </c>
      <c r="J3133" t="str">
        <f t="shared" si="590"/>
        <v>514719</v>
      </c>
      <c r="K3133" t="s">
        <v>0</v>
      </c>
      <c r="L3133">
        <v>49</v>
      </c>
      <c r="M3133">
        <v>49</v>
      </c>
      <c r="N3133">
        <v>0</v>
      </c>
      <c r="O3133" s="1">
        <v>45581.542581018519</v>
      </c>
      <c r="P3133" t="s">
        <v>122</v>
      </c>
    </row>
    <row r="3134" spans="1:16" x14ac:dyDescent="0.3">
      <c r="A3134" t="s">
        <v>25</v>
      </c>
      <c r="B3134" s="1">
        <v>45581.542569444442</v>
      </c>
      <c r="C3134" t="str">
        <f t="shared" si="589"/>
        <v>41</v>
      </c>
      <c r="D3134" t="s">
        <v>120</v>
      </c>
      <c r="E3134" t="s">
        <v>116</v>
      </c>
      <c r="F3134" t="s">
        <v>117</v>
      </c>
      <c r="H3134" t="s">
        <v>804</v>
      </c>
      <c r="I3134" t="str">
        <f>"101050002020454"</f>
        <v>101050002020454</v>
      </c>
      <c r="J3134" t="str">
        <f t="shared" si="590"/>
        <v>514719</v>
      </c>
      <c r="K3134" t="s">
        <v>0</v>
      </c>
      <c r="L3134">
        <v>49</v>
      </c>
      <c r="M3134">
        <v>49</v>
      </c>
      <c r="N3134">
        <v>0</v>
      </c>
      <c r="O3134" s="1">
        <v>45581.542569444442</v>
      </c>
      <c r="P3134" t="s">
        <v>122</v>
      </c>
    </row>
    <row r="3135" spans="1:16" x14ac:dyDescent="0.3">
      <c r="A3135" t="s">
        <v>25</v>
      </c>
      <c r="B3135" s="1">
        <v>45581.541875000003</v>
      </c>
      <c r="C3135" t="str">
        <f>"38"</f>
        <v>38</v>
      </c>
      <c r="D3135" t="s">
        <v>115</v>
      </c>
      <c r="E3135" t="s">
        <v>116</v>
      </c>
      <c r="F3135" t="s">
        <v>117</v>
      </c>
      <c r="H3135" t="s">
        <v>805</v>
      </c>
      <c r="L3135">
        <v>0</v>
      </c>
      <c r="M3135">
        <v>0</v>
      </c>
      <c r="N3135">
        <v>0</v>
      </c>
      <c r="O3135" s="1">
        <v>45581.541875000003</v>
      </c>
      <c r="P3135" t="s">
        <v>119</v>
      </c>
    </row>
    <row r="3136" spans="1:16" x14ac:dyDescent="0.3">
      <c r="A3136" t="s">
        <v>25</v>
      </c>
      <c r="B3136" s="1">
        <v>45581.541875000003</v>
      </c>
      <c r="C3136" t="str">
        <f t="shared" ref="C3136:C3142" si="591">"41"</f>
        <v>41</v>
      </c>
      <c r="D3136" t="s">
        <v>120</v>
      </c>
      <c r="E3136" t="s">
        <v>116</v>
      </c>
      <c r="F3136" t="s">
        <v>117</v>
      </c>
      <c r="H3136" t="s">
        <v>805</v>
      </c>
      <c r="I3136" t="str">
        <f>"101050002014815"</f>
        <v>101050002014815</v>
      </c>
      <c r="J3136" t="str">
        <f t="shared" ref="J3136:J3142" si="592">"31090"</f>
        <v>31090</v>
      </c>
      <c r="K3136" t="s">
        <v>76</v>
      </c>
      <c r="L3136">
        <v>49</v>
      </c>
      <c r="M3136">
        <v>49</v>
      </c>
      <c r="N3136">
        <v>0</v>
      </c>
      <c r="O3136" s="1">
        <v>45581.541875000003</v>
      </c>
      <c r="P3136" t="s">
        <v>119</v>
      </c>
    </row>
    <row r="3137" spans="1:16" x14ac:dyDescent="0.3">
      <c r="A3137" t="s">
        <v>25</v>
      </c>
      <c r="B3137" s="1">
        <v>45581.541875000003</v>
      </c>
      <c r="C3137" t="str">
        <f t="shared" si="591"/>
        <v>41</v>
      </c>
      <c r="D3137" t="s">
        <v>120</v>
      </c>
      <c r="E3137" t="s">
        <v>116</v>
      </c>
      <c r="F3137" t="s">
        <v>117</v>
      </c>
      <c r="H3137" t="s">
        <v>805</v>
      </c>
      <c r="I3137" t="str">
        <f>"101050002014679"</f>
        <v>101050002014679</v>
      </c>
      <c r="J3137" t="str">
        <f t="shared" si="592"/>
        <v>31090</v>
      </c>
      <c r="K3137" t="s">
        <v>76</v>
      </c>
      <c r="L3137">
        <v>49</v>
      </c>
      <c r="M3137">
        <v>49</v>
      </c>
      <c r="N3137">
        <v>0</v>
      </c>
      <c r="O3137" s="1">
        <v>45581.541875000003</v>
      </c>
      <c r="P3137" t="s">
        <v>119</v>
      </c>
    </row>
    <row r="3138" spans="1:16" x14ac:dyDescent="0.3">
      <c r="A3138" t="s">
        <v>25</v>
      </c>
      <c r="B3138" s="1">
        <v>45581.541875000003</v>
      </c>
      <c r="C3138" t="str">
        <f t="shared" si="591"/>
        <v>41</v>
      </c>
      <c r="D3138" t="s">
        <v>120</v>
      </c>
      <c r="E3138" t="s">
        <v>116</v>
      </c>
      <c r="F3138" t="s">
        <v>117</v>
      </c>
      <c r="H3138" t="s">
        <v>805</v>
      </c>
      <c r="I3138" t="str">
        <f>"101050002014811"</f>
        <v>101050002014811</v>
      </c>
      <c r="J3138" t="str">
        <f t="shared" si="592"/>
        <v>31090</v>
      </c>
      <c r="K3138" t="s">
        <v>76</v>
      </c>
      <c r="L3138">
        <v>49</v>
      </c>
      <c r="M3138">
        <v>49</v>
      </c>
      <c r="N3138">
        <v>0</v>
      </c>
      <c r="O3138" s="1">
        <v>45581.541875000003</v>
      </c>
      <c r="P3138" t="s">
        <v>119</v>
      </c>
    </row>
    <row r="3139" spans="1:16" x14ac:dyDescent="0.3">
      <c r="A3139" t="s">
        <v>25</v>
      </c>
      <c r="B3139" s="1">
        <v>45581.541863425926</v>
      </c>
      <c r="C3139" t="str">
        <f t="shared" si="591"/>
        <v>41</v>
      </c>
      <c r="D3139" t="s">
        <v>120</v>
      </c>
      <c r="E3139" t="s">
        <v>116</v>
      </c>
      <c r="F3139" t="s">
        <v>117</v>
      </c>
      <c r="H3139" t="s">
        <v>805</v>
      </c>
      <c r="I3139" t="str">
        <f>"101050002014604"</f>
        <v>101050002014604</v>
      </c>
      <c r="J3139" t="str">
        <f t="shared" si="592"/>
        <v>31090</v>
      </c>
      <c r="K3139" t="s">
        <v>76</v>
      </c>
      <c r="L3139">
        <v>49</v>
      </c>
      <c r="M3139">
        <v>49</v>
      </c>
      <c r="N3139">
        <v>0</v>
      </c>
      <c r="O3139" s="1">
        <v>45581.541863425926</v>
      </c>
      <c r="P3139" t="s">
        <v>119</v>
      </c>
    </row>
    <row r="3140" spans="1:16" x14ac:dyDescent="0.3">
      <c r="A3140" t="s">
        <v>25</v>
      </c>
      <c r="B3140" s="1">
        <v>45581.541863425926</v>
      </c>
      <c r="C3140" t="str">
        <f t="shared" si="591"/>
        <v>41</v>
      </c>
      <c r="D3140" t="s">
        <v>120</v>
      </c>
      <c r="E3140" t="s">
        <v>116</v>
      </c>
      <c r="F3140" t="s">
        <v>117</v>
      </c>
      <c r="H3140" t="s">
        <v>805</v>
      </c>
      <c r="I3140" t="str">
        <f>"101050002013502"</f>
        <v>101050002013502</v>
      </c>
      <c r="J3140" t="str">
        <f t="shared" si="592"/>
        <v>31090</v>
      </c>
      <c r="K3140" t="s">
        <v>76</v>
      </c>
      <c r="L3140">
        <v>49</v>
      </c>
      <c r="M3140">
        <v>49</v>
      </c>
      <c r="N3140">
        <v>0</v>
      </c>
      <c r="O3140" s="1">
        <v>45581.541863425926</v>
      </c>
      <c r="P3140" t="s">
        <v>119</v>
      </c>
    </row>
    <row r="3141" spans="1:16" x14ac:dyDescent="0.3">
      <c r="A3141" t="s">
        <v>25</v>
      </c>
      <c r="B3141" s="1">
        <v>45581.541863425926</v>
      </c>
      <c r="C3141" t="str">
        <f t="shared" si="591"/>
        <v>41</v>
      </c>
      <c r="D3141" t="s">
        <v>120</v>
      </c>
      <c r="E3141" t="s">
        <v>116</v>
      </c>
      <c r="F3141" t="s">
        <v>117</v>
      </c>
      <c r="H3141" t="s">
        <v>805</v>
      </c>
      <c r="I3141" t="str">
        <f>"101050002014164"</f>
        <v>101050002014164</v>
      </c>
      <c r="J3141" t="str">
        <f t="shared" si="592"/>
        <v>31090</v>
      </c>
      <c r="K3141" t="s">
        <v>76</v>
      </c>
      <c r="L3141">
        <v>49</v>
      </c>
      <c r="M3141">
        <v>49</v>
      </c>
      <c r="N3141">
        <v>0</v>
      </c>
      <c r="O3141" s="1">
        <v>45581.541863425926</v>
      </c>
      <c r="P3141" t="s">
        <v>119</v>
      </c>
    </row>
    <row r="3142" spans="1:16" x14ac:dyDescent="0.3">
      <c r="A3142" t="s">
        <v>25</v>
      </c>
      <c r="B3142" s="1">
        <v>45581.541863425926</v>
      </c>
      <c r="C3142" t="str">
        <f t="shared" si="591"/>
        <v>41</v>
      </c>
      <c r="D3142" t="s">
        <v>120</v>
      </c>
      <c r="E3142" t="s">
        <v>116</v>
      </c>
      <c r="F3142" t="s">
        <v>117</v>
      </c>
      <c r="H3142" t="s">
        <v>805</v>
      </c>
      <c r="I3142" t="str">
        <f>"101050002013759"</f>
        <v>101050002013759</v>
      </c>
      <c r="J3142" t="str">
        <f t="shared" si="592"/>
        <v>31090</v>
      </c>
      <c r="K3142" t="s">
        <v>76</v>
      </c>
      <c r="L3142">
        <v>49</v>
      </c>
      <c r="M3142">
        <v>49</v>
      </c>
      <c r="N3142">
        <v>0</v>
      </c>
      <c r="O3142" s="1">
        <v>45581.541863425926</v>
      </c>
      <c r="P3142" t="s">
        <v>119</v>
      </c>
    </row>
    <row r="3143" spans="1:16" x14ac:dyDescent="0.3">
      <c r="A3143" t="s">
        <v>25</v>
      </c>
      <c r="B3143" s="1">
        <v>45581.541168981479</v>
      </c>
      <c r="C3143" t="str">
        <f>"38"</f>
        <v>38</v>
      </c>
      <c r="D3143" t="s">
        <v>115</v>
      </c>
      <c r="E3143" t="s">
        <v>116</v>
      </c>
      <c r="F3143" t="s">
        <v>117</v>
      </c>
      <c r="H3143" t="s">
        <v>806</v>
      </c>
      <c r="L3143">
        <v>0</v>
      </c>
      <c r="M3143">
        <v>0</v>
      </c>
      <c r="N3143">
        <v>0</v>
      </c>
      <c r="O3143" s="1">
        <v>45581.541168981479</v>
      </c>
      <c r="P3143" t="s">
        <v>122</v>
      </c>
    </row>
    <row r="3144" spans="1:16" x14ac:dyDescent="0.3">
      <c r="A3144" t="s">
        <v>25</v>
      </c>
      <c r="B3144" s="1">
        <v>45581.541168981479</v>
      </c>
      <c r="C3144" t="str">
        <f>"41"</f>
        <v>41</v>
      </c>
      <c r="D3144" t="s">
        <v>120</v>
      </c>
      <c r="E3144" t="s">
        <v>116</v>
      </c>
      <c r="F3144" t="s">
        <v>117</v>
      </c>
      <c r="H3144" t="s">
        <v>806</v>
      </c>
      <c r="I3144" t="str">
        <f>"101050002014793"</f>
        <v>101050002014793</v>
      </c>
      <c r="J3144" t="str">
        <f>"31090"</f>
        <v>31090</v>
      </c>
      <c r="K3144" t="s">
        <v>76</v>
      </c>
      <c r="L3144">
        <v>49</v>
      </c>
      <c r="M3144">
        <v>49</v>
      </c>
      <c r="N3144">
        <v>0</v>
      </c>
      <c r="O3144" s="1">
        <v>45581.541168981479</v>
      </c>
      <c r="P3144" t="s">
        <v>122</v>
      </c>
    </row>
    <row r="3145" spans="1:16" x14ac:dyDescent="0.3">
      <c r="A3145" t="s">
        <v>25</v>
      </c>
      <c r="B3145" s="1">
        <v>45581.540763888886</v>
      </c>
      <c r="C3145" t="str">
        <f>"38"</f>
        <v>38</v>
      </c>
      <c r="D3145" t="s">
        <v>115</v>
      </c>
      <c r="E3145" t="s">
        <v>116</v>
      </c>
      <c r="F3145" t="s">
        <v>117</v>
      </c>
      <c r="H3145" t="s">
        <v>807</v>
      </c>
      <c r="L3145">
        <v>0</v>
      </c>
      <c r="M3145">
        <v>0</v>
      </c>
      <c r="N3145">
        <v>0</v>
      </c>
      <c r="O3145" s="1">
        <v>45581.540763888886</v>
      </c>
      <c r="P3145" t="s">
        <v>392</v>
      </c>
    </row>
    <row r="3146" spans="1:16" x14ac:dyDescent="0.3">
      <c r="A3146" t="s">
        <v>25</v>
      </c>
      <c r="B3146" s="1">
        <v>45581.540763888886</v>
      </c>
      <c r="C3146" t="str">
        <f t="shared" ref="C3146:C3152" si="593">"41"</f>
        <v>41</v>
      </c>
      <c r="D3146" t="s">
        <v>120</v>
      </c>
      <c r="E3146" t="s">
        <v>116</v>
      </c>
      <c r="F3146" t="s">
        <v>117</v>
      </c>
      <c r="H3146" t="s">
        <v>807</v>
      </c>
      <c r="I3146" t="str">
        <f>"101050002022985"</f>
        <v>101050002022985</v>
      </c>
      <c r="J3146" t="str">
        <f t="shared" ref="J3146:J3152" si="594">"127924"</f>
        <v>127924</v>
      </c>
      <c r="K3146" t="s">
        <v>3</v>
      </c>
      <c r="L3146">
        <v>49</v>
      </c>
      <c r="M3146">
        <v>49</v>
      </c>
      <c r="N3146">
        <v>0</v>
      </c>
      <c r="O3146" s="1">
        <v>45581.540763888886</v>
      </c>
      <c r="P3146" t="s">
        <v>392</v>
      </c>
    </row>
    <row r="3147" spans="1:16" x14ac:dyDescent="0.3">
      <c r="A3147" t="s">
        <v>25</v>
      </c>
      <c r="B3147" s="1">
        <v>45581.540763888886</v>
      </c>
      <c r="C3147" t="str">
        <f t="shared" si="593"/>
        <v>41</v>
      </c>
      <c r="D3147" t="s">
        <v>120</v>
      </c>
      <c r="E3147" t="s">
        <v>116</v>
      </c>
      <c r="F3147" t="s">
        <v>117</v>
      </c>
      <c r="H3147" t="s">
        <v>807</v>
      </c>
      <c r="I3147" t="str">
        <f>"101050002021573"</f>
        <v>101050002021573</v>
      </c>
      <c r="J3147" t="str">
        <f t="shared" si="594"/>
        <v>127924</v>
      </c>
      <c r="K3147" t="s">
        <v>3</v>
      </c>
      <c r="L3147">
        <v>49</v>
      </c>
      <c r="M3147">
        <v>49</v>
      </c>
      <c r="N3147">
        <v>0</v>
      </c>
      <c r="O3147" s="1">
        <v>45581.540763888886</v>
      </c>
      <c r="P3147" t="s">
        <v>392</v>
      </c>
    </row>
    <row r="3148" spans="1:16" x14ac:dyDescent="0.3">
      <c r="A3148" t="s">
        <v>25</v>
      </c>
      <c r="B3148" s="1">
        <v>45581.540763888886</v>
      </c>
      <c r="C3148" t="str">
        <f t="shared" si="593"/>
        <v>41</v>
      </c>
      <c r="D3148" t="s">
        <v>120</v>
      </c>
      <c r="E3148" t="s">
        <v>116</v>
      </c>
      <c r="F3148" t="s">
        <v>117</v>
      </c>
      <c r="H3148" t="s">
        <v>807</v>
      </c>
      <c r="I3148" t="str">
        <f>"101050002020260"</f>
        <v>101050002020260</v>
      </c>
      <c r="J3148" t="str">
        <f t="shared" si="594"/>
        <v>127924</v>
      </c>
      <c r="K3148" t="s">
        <v>3</v>
      </c>
      <c r="L3148">
        <v>49</v>
      </c>
      <c r="M3148">
        <v>49</v>
      </c>
      <c r="N3148">
        <v>0</v>
      </c>
      <c r="O3148" s="1">
        <v>45581.540763888886</v>
      </c>
      <c r="P3148" t="s">
        <v>392</v>
      </c>
    </row>
    <row r="3149" spans="1:16" x14ac:dyDescent="0.3">
      <c r="A3149" t="s">
        <v>25</v>
      </c>
      <c r="B3149" s="1">
        <v>45581.540763888886</v>
      </c>
      <c r="C3149" t="str">
        <f t="shared" si="593"/>
        <v>41</v>
      </c>
      <c r="D3149" t="s">
        <v>120</v>
      </c>
      <c r="E3149" t="s">
        <v>116</v>
      </c>
      <c r="F3149" t="s">
        <v>117</v>
      </c>
      <c r="H3149" t="s">
        <v>807</v>
      </c>
      <c r="I3149" t="str">
        <f>"101050002020257"</f>
        <v>101050002020257</v>
      </c>
      <c r="J3149" t="str">
        <f t="shared" si="594"/>
        <v>127924</v>
      </c>
      <c r="K3149" t="s">
        <v>3</v>
      </c>
      <c r="L3149">
        <v>49</v>
      </c>
      <c r="M3149">
        <v>49</v>
      </c>
      <c r="N3149">
        <v>0</v>
      </c>
      <c r="O3149" s="1">
        <v>45581.540763888886</v>
      </c>
      <c r="P3149" t="s">
        <v>392</v>
      </c>
    </row>
    <row r="3150" spans="1:16" x14ac:dyDescent="0.3">
      <c r="A3150" t="s">
        <v>25</v>
      </c>
      <c r="B3150" s="1">
        <v>45581.540763888886</v>
      </c>
      <c r="C3150" t="str">
        <f t="shared" si="593"/>
        <v>41</v>
      </c>
      <c r="D3150" t="s">
        <v>120</v>
      </c>
      <c r="E3150" t="s">
        <v>116</v>
      </c>
      <c r="F3150" t="s">
        <v>117</v>
      </c>
      <c r="H3150" t="s">
        <v>807</v>
      </c>
      <c r="I3150" t="str">
        <f>"101050002020259"</f>
        <v>101050002020259</v>
      </c>
      <c r="J3150" t="str">
        <f t="shared" si="594"/>
        <v>127924</v>
      </c>
      <c r="K3150" t="s">
        <v>3</v>
      </c>
      <c r="L3150">
        <v>49</v>
      </c>
      <c r="M3150">
        <v>49</v>
      </c>
      <c r="N3150">
        <v>0</v>
      </c>
      <c r="O3150" s="1">
        <v>45581.540763888886</v>
      </c>
      <c r="P3150" t="s">
        <v>392</v>
      </c>
    </row>
    <row r="3151" spans="1:16" x14ac:dyDescent="0.3">
      <c r="A3151" t="s">
        <v>25</v>
      </c>
      <c r="B3151" s="1">
        <v>45581.540763888886</v>
      </c>
      <c r="C3151" t="str">
        <f t="shared" si="593"/>
        <v>41</v>
      </c>
      <c r="D3151" t="s">
        <v>120</v>
      </c>
      <c r="E3151" t="s">
        <v>116</v>
      </c>
      <c r="F3151" t="s">
        <v>117</v>
      </c>
      <c r="H3151" t="s">
        <v>807</v>
      </c>
      <c r="I3151" t="str">
        <f>"101050002019022"</f>
        <v>101050002019022</v>
      </c>
      <c r="J3151" t="str">
        <f t="shared" si="594"/>
        <v>127924</v>
      </c>
      <c r="K3151" t="s">
        <v>3</v>
      </c>
      <c r="L3151">
        <v>49</v>
      </c>
      <c r="M3151">
        <v>49</v>
      </c>
      <c r="N3151">
        <v>0</v>
      </c>
      <c r="O3151" s="1">
        <v>45581.540763888886</v>
      </c>
      <c r="P3151" t="s">
        <v>392</v>
      </c>
    </row>
    <row r="3152" spans="1:16" x14ac:dyDescent="0.3">
      <c r="A3152" t="s">
        <v>25</v>
      </c>
      <c r="B3152" s="1">
        <v>45581.540763888886</v>
      </c>
      <c r="C3152" t="str">
        <f t="shared" si="593"/>
        <v>41</v>
      </c>
      <c r="D3152" t="s">
        <v>120</v>
      </c>
      <c r="E3152" t="s">
        <v>116</v>
      </c>
      <c r="F3152" t="s">
        <v>117</v>
      </c>
      <c r="H3152" t="s">
        <v>807</v>
      </c>
      <c r="I3152" t="str">
        <f>"101050002019121"</f>
        <v>101050002019121</v>
      </c>
      <c r="J3152" t="str">
        <f t="shared" si="594"/>
        <v>127924</v>
      </c>
      <c r="K3152" t="s">
        <v>3</v>
      </c>
      <c r="L3152">
        <v>49</v>
      </c>
      <c r="M3152">
        <v>49</v>
      </c>
      <c r="N3152">
        <v>0</v>
      </c>
      <c r="O3152" s="1">
        <v>45581.540763888886</v>
      </c>
      <c r="P3152" t="s">
        <v>392</v>
      </c>
    </row>
    <row r="3153" spans="1:16" x14ac:dyDescent="0.3">
      <c r="A3153" t="s">
        <v>25</v>
      </c>
      <c r="B3153" s="1">
        <v>45581.540289351855</v>
      </c>
      <c r="C3153" t="str">
        <f>"38"</f>
        <v>38</v>
      </c>
      <c r="D3153" t="s">
        <v>115</v>
      </c>
      <c r="E3153" t="s">
        <v>116</v>
      </c>
      <c r="F3153" t="s">
        <v>117</v>
      </c>
      <c r="H3153" t="s">
        <v>808</v>
      </c>
      <c r="L3153">
        <v>0</v>
      </c>
      <c r="M3153">
        <v>0</v>
      </c>
      <c r="N3153">
        <v>0</v>
      </c>
      <c r="O3153" s="1">
        <v>45581.540289351855</v>
      </c>
      <c r="P3153" t="s">
        <v>392</v>
      </c>
    </row>
    <row r="3154" spans="1:16" x14ac:dyDescent="0.3">
      <c r="A3154" t="s">
        <v>25</v>
      </c>
      <c r="B3154" s="1">
        <v>45581.540138888886</v>
      </c>
      <c r="C3154" t="str">
        <f>"38"</f>
        <v>38</v>
      </c>
      <c r="D3154" t="s">
        <v>115</v>
      </c>
      <c r="E3154" t="s">
        <v>116</v>
      </c>
      <c r="F3154" t="s">
        <v>117</v>
      </c>
      <c r="H3154" t="s">
        <v>809</v>
      </c>
      <c r="L3154">
        <v>0</v>
      </c>
      <c r="M3154">
        <v>0</v>
      </c>
      <c r="N3154">
        <v>0</v>
      </c>
      <c r="O3154" s="1">
        <v>45581.540138888886</v>
      </c>
      <c r="P3154" t="s">
        <v>392</v>
      </c>
    </row>
    <row r="3155" spans="1:16" x14ac:dyDescent="0.3">
      <c r="A3155" t="s">
        <v>25</v>
      </c>
      <c r="B3155" s="1">
        <v>45581.540138888886</v>
      </c>
      <c r="C3155" t="str">
        <f>"41"</f>
        <v>41</v>
      </c>
      <c r="D3155" t="s">
        <v>120</v>
      </c>
      <c r="E3155" t="s">
        <v>116</v>
      </c>
      <c r="F3155" t="s">
        <v>117</v>
      </c>
      <c r="H3155" t="s">
        <v>809</v>
      </c>
      <c r="I3155" t="str">
        <f>"101570001108485"</f>
        <v>101570001108485</v>
      </c>
      <c r="J3155" t="str">
        <f>"48205"</f>
        <v>48205</v>
      </c>
      <c r="K3155" t="s">
        <v>20</v>
      </c>
      <c r="L3155">
        <v>49</v>
      </c>
      <c r="M3155">
        <v>49</v>
      </c>
      <c r="N3155">
        <v>0</v>
      </c>
      <c r="O3155" s="1">
        <v>45581.540138888886</v>
      </c>
      <c r="P3155" t="s">
        <v>392</v>
      </c>
    </row>
    <row r="3156" spans="1:16" x14ac:dyDescent="0.3">
      <c r="A3156" t="s">
        <v>25</v>
      </c>
      <c r="B3156" s="1">
        <v>45581.540138888886</v>
      </c>
      <c r="C3156" t="str">
        <f>"41"</f>
        <v>41</v>
      </c>
      <c r="D3156" t="s">
        <v>120</v>
      </c>
      <c r="E3156" t="s">
        <v>116</v>
      </c>
      <c r="F3156" t="s">
        <v>117</v>
      </c>
      <c r="H3156" t="s">
        <v>809</v>
      </c>
      <c r="I3156" t="str">
        <f>"101570001108176"</f>
        <v>101570001108176</v>
      </c>
      <c r="J3156" t="str">
        <f>"48205"</f>
        <v>48205</v>
      </c>
      <c r="K3156" t="s">
        <v>20</v>
      </c>
      <c r="L3156">
        <v>49</v>
      </c>
      <c r="M3156">
        <v>49</v>
      </c>
      <c r="N3156">
        <v>0</v>
      </c>
      <c r="O3156" s="1">
        <v>45581.540138888886</v>
      </c>
      <c r="P3156" t="s">
        <v>392</v>
      </c>
    </row>
    <row r="3157" spans="1:16" x14ac:dyDescent="0.3">
      <c r="A3157" t="s">
        <v>25</v>
      </c>
      <c r="B3157" s="1">
        <v>45581.540138888886</v>
      </c>
      <c r="C3157" t="str">
        <f>"41"</f>
        <v>41</v>
      </c>
      <c r="D3157" t="s">
        <v>120</v>
      </c>
      <c r="E3157" t="s">
        <v>116</v>
      </c>
      <c r="F3157" t="s">
        <v>117</v>
      </c>
      <c r="H3157" t="s">
        <v>809</v>
      </c>
      <c r="I3157" t="str">
        <f>"101570001108338"</f>
        <v>101570001108338</v>
      </c>
      <c r="J3157" t="str">
        <f>"48205"</f>
        <v>48205</v>
      </c>
      <c r="K3157" t="s">
        <v>20</v>
      </c>
      <c r="L3157">
        <v>49</v>
      </c>
      <c r="M3157">
        <v>49</v>
      </c>
      <c r="N3157">
        <v>0</v>
      </c>
      <c r="O3157" s="1">
        <v>45581.540138888886</v>
      </c>
      <c r="P3157" t="s">
        <v>392</v>
      </c>
    </row>
    <row r="3158" spans="1:16" x14ac:dyDescent="0.3">
      <c r="A3158" t="s">
        <v>25</v>
      </c>
      <c r="B3158" s="1">
        <v>45581.540127314816</v>
      </c>
      <c r="C3158" t="str">
        <f>"41"</f>
        <v>41</v>
      </c>
      <c r="D3158" t="s">
        <v>120</v>
      </c>
      <c r="E3158" t="s">
        <v>116</v>
      </c>
      <c r="F3158" t="s">
        <v>117</v>
      </c>
      <c r="H3158" t="s">
        <v>809</v>
      </c>
      <c r="I3158" t="str">
        <f>"101570001108175"</f>
        <v>101570001108175</v>
      </c>
      <c r="J3158" t="str">
        <f>"48205"</f>
        <v>48205</v>
      </c>
      <c r="K3158" t="s">
        <v>20</v>
      </c>
      <c r="L3158">
        <v>49</v>
      </c>
      <c r="M3158">
        <v>49</v>
      </c>
      <c r="N3158">
        <v>0</v>
      </c>
      <c r="O3158" s="1">
        <v>45581.540127314816</v>
      </c>
      <c r="P3158" t="s">
        <v>392</v>
      </c>
    </row>
    <row r="3159" spans="1:16" x14ac:dyDescent="0.3">
      <c r="A3159" t="s">
        <v>25</v>
      </c>
      <c r="B3159" s="1">
        <v>45581.539895833332</v>
      </c>
      <c r="C3159" t="str">
        <f>"38"</f>
        <v>38</v>
      </c>
      <c r="D3159" t="s">
        <v>115</v>
      </c>
      <c r="E3159" t="s">
        <v>116</v>
      </c>
      <c r="F3159" t="s">
        <v>117</v>
      </c>
      <c r="H3159" t="s">
        <v>810</v>
      </c>
      <c r="L3159">
        <v>0</v>
      </c>
      <c r="M3159">
        <v>0</v>
      </c>
      <c r="N3159">
        <v>0</v>
      </c>
      <c r="O3159" s="1">
        <v>45581.539895833332</v>
      </c>
      <c r="P3159" t="s">
        <v>138</v>
      </c>
    </row>
    <row r="3160" spans="1:16" x14ac:dyDescent="0.3">
      <c r="A3160" t="s">
        <v>25</v>
      </c>
      <c r="B3160" s="1">
        <v>45581.539895833332</v>
      </c>
      <c r="C3160" t="str">
        <f>"41"</f>
        <v>41</v>
      </c>
      <c r="D3160" t="s">
        <v>120</v>
      </c>
      <c r="E3160" t="s">
        <v>116</v>
      </c>
      <c r="F3160" t="s">
        <v>117</v>
      </c>
      <c r="H3160" t="s">
        <v>810</v>
      </c>
      <c r="I3160" t="str">
        <f>"101050002005408"</f>
        <v>101050002005408</v>
      </c>
      <c r="J3160" t="str">
        <f>"514479"</f>
        <v>514479</v>
      </c>
      <c r="K3160" t="s">
        <v>82</v>
      </c>
      <c r="L3160">
        <v>49</v>
      </c>
      <c r="M3160">
        <v>49</v>
      </c>
      <c r="N3160">
        <v>0</v>
      </c>
      <c r="O3160" s="1">
        <v>45581.539895833332</v>
      </c>
      <c r="P3160" t="s">
        <v>138</v>
      </c>
    </row>
    <row r="3161" spans="1:16" x14ac:dyDescent="0.3">
      <c r="A3161" t="s">
        <v>25</v>
      </c>
      <c r="B3161" s="1">
        <v>45581.539895833332</v>
      </c>
      <c r="C3161" t="str">
        <f>"41"</f>
        <v>41</v>
      </c>
      <c r="D3161" t="s">
        <v>120</v>
      </c>
      <c r="E3161" t="s">
        <v>116</v>
      </c>
      <c r="F3161" t="s">
        <v>117</v>
      </c>
      <c r="H3161" t="s">
        <v>810</v>
      </c>
      <c r="I3161" t="str">
        <f>"101050002005354"</f>
        <v>101050002005354</v>
      </c>
      <c r="J3161" t="str">
        <f>"514479"</f>
        <v>514479</v>
      </c>
      <c r="K3161" t="s">
        <v>82</v>
      </c>
      <c r="L3161">
        <v>49</v>
      </c>
      <c r="M3161">
        <v>49</v>
      </c>
      <c r="N3161">
        <v>0</v>
      </c>
      <c r="O3161" s="1">
        <v>45581.539895833332</v>
      </c>
      <c r="P3161" t="s">
        <v>138</v>
      </c>
    </row>
    <row r="3162" spans="1:16" x14ac:dyDescent="0.3">
      <c r="A3162" t="s">
        <v>25</v>
      </c>
      <c r="B3162" s="1">
        <v>45581.539895833332</v>
      </c>
      <c r="C3162" t="str">
        <f>"38"</f>
        <v>38</v>
      </c>
      <c r="D3162" t="s">
        <v>115</v>
      </c>
      <c r="E3162" t="s">
        <v>116</v>
      </c>
      <c r="F3162" t="s">
        <v>117</v>
      </c>
      <c r="H3162" t="s">
        <v>811</v>
      </c>
      <c r="L3162">
        <v>0</v>
      </c>
      <c r="M3162">
        <v>0</v>
      </c>
      <c r="N3162">
        <v>0</v>
      </c>
      <c r="O3162" s="1">
        <v>45581.539895833332</v>
      </c>
      <c r="P3162" t="s">
        <v>119</v>
      </c>
    </row>
    <row r="3163" spans="1:16" x14ac:dyDescent="0.3">
      <c r="A3163" t="s">
        <v>25</v>
      </c>
      <c r="B3163" s="1">
        <v>45581.539884259262</v>
      </c>
      <c r="C3163" t="str">
        <f>"41"</f>
        <v>41</v>
      </c>
      <c r="D3163" t="s">
        <v>120</v>
      </c>
      <c r="E3163" t="s">
        <v>116</v>
      </c>
      <c r="F3163" t="s">
        <v>117</v>
      </c>
      <c r="H3163" t="s">
        <v>810</v>
      </c>
      <c r="I3163" t="str">
        <f>"101050002005407"</f>
        <v>101050002005407</v>
      </c>
      <c r="J3163" t="str">
        <f>"514479"</f>
        <v>514479</v>
      </c>
      <c r="K3163" t="s">
        <v>82</v>
      </c>
      <c r="L3163">
        <v>49</v>
      </c>
      <c r="M3163">
        <v>49</v>
      </c>
      <c r="N3163">
        <v>0</v>
      </c>
      <c r="O3163" s="1">
        <v>45581.539884259262</v>
      </c>
      <c r="P3163" t="s">
        <v>138</v>
      </c>
    </row>
    <row r="3164" spans="1:16" x14ac:dyDescent="0.3">
      <c r="A3164" t="s">
        <v>25</v>
      </c>
      <c r="B3164" s="1">
        <v>45581.539884259262</v>
      </c>
      <c r="C3164" t="str">
        <f>"41"</f>
        <v>41</v>
      </c>
      <c r="D3164" t="s">
        <v>120</v>
      </c>
      <c r="E3164" t="s">
        <v>116</v>
      </c>
      <c r="F3164" t="s">
        <v>117</v>
      </c>
      <c r="H3164" t="s">
        <v>810</v>
      </c>
      <c r="I3164" t="str">
        <f>"101050002005381"</f>
        <v>101050002005381</v>
      </c>
      <c r="J3164" t="str">
        <f>"514479"</f>
        <v>514479</v>
      </c>
      <c r="K3164" t="s">
        <v>82</v>
      </c>
      <c r="L3164">
        <v>49</v>
      </c>
      <c r="M3164">
        <v>49</v>
      </c>
      <c r="N3164">
        <v>0</v>
      </c>
      <c r="O3164" s="1">
        <v>45581.539884259262</v>
      </c>
      <c r="P3164" t="s">
        <v>138</v>
      </c>
    </row>
    <row r="3165" spans="1:16" x14ac:dyDescent="0.3">
      <c r="A3165" t="s">
        <v>25</v>
      </c>
      <c r="B3165" s="1">
        <v>45581.539664351854</v>
      </c>
      <c r="C3165" t="str">
        <f>"38"</f>
        <v>38</v>
      </c>
      <c r="D3165" t="s">
        <v>115</v>
      </c>
      <c r="E3165" t="s">
        <v>116</v>
      </c>
      <c r="F3165" t="s">
        <v>117</v>
      </c>
      <c r="H3165" t="s">
        <v>812</v>
      </c>
      <c r="L3165">
        <v>0</v>
      </c>
      <c r="M3165">
        <v>0</v>
      </c>
      <c r="N3165">
        <v>0</v>
      </c>
      <c r="O3165" s="1">
        <v>45581.539664351854</v>
      </c>
      <c r="P3165" t="s">
        <v>392</v>
      </c>
    </row>
    <row r="3166" spans="1:16" x14ac:dyDescent="0.3">
      <c r="A3166" t="s">
        <v>25</v>
      </c>
      <c r="B3166" s="1">
        <v>45581.539664351854</v>
      </c>
      <c r="C3166" t="str">
        <f>"41"</f>
        <v>41</v>
      </c>
      <c r="D3166" t="s">
        <v>120</v>
      </c>
      <c r="E3166" t="s">
        <v>116</v>
      </c>
      <c r="F3166" t="s">
        <v>117</v>
      </c>
      <c r="H3166" t="s">
        <v>812</v>
      </c>
      <c r="I3166" t="str">
        <f>"101050001989805"</f>
        <v>101050001989805</v>
      </c>
      <c r="J3166" t="str">
        <f>"514475"</f>
        <v>514475</v>
      </c>
      <c r="K3166" t="s">
        <v>23</v>
      </c>
      <c r="L3166">
        <v>49</v>
      </c>
      <c r="M3166">
        <v>49</v>
      </c>
      <c r="N3166">
        <v>0</v>
      </c>
      <c r="O3166" s="1">
        <v>45581.539664351854</v>
      </c>
      <c r="P3166" t="s">
        <v>392</v>
      </c>
    </row>
    <row r="3167" spans="1:16" x14ac:dyDescent="0.3">
      <c r="A3167" t="s">
        <v>25</v>
      </c>
      <c r="B3167" s="1">
        <v>45581.539664351854</v>
      </c>
      <c r="C3167" t="str">
        <f>"41"</f>
        <v>41</v>
      </c>
      <c r="D3167" t="s">
        <v>120</v>
      </c>
      <c r="E3167" t="s">
        <v>116</v>
      </c>
      <c r="F3167" t="s">
        <v>117</v>
      </c>
      <c r="H3167" t="s">
        <v>812</v>
      </c>
      <c r="I3167" t="str">
        <f>"101050001989804"</f>
        <v>101050001989804</v>
      </c>
      <c r="J3167" t="str">
        <f>"514475"</f>
        <v>514475</v>
      </c>
      <c r="K3167" t="s">
        <v>23</v>
      </c>
      <c r="L3167">
        <v>49</v>
      </c>
      <c r="M3167">
        <v>49</v>
      </c>
      <c r="N3167">
        <v>0</v>
      </c>
      <c r="O3167" s="1">
        <v>45581.539664351854</v>
      </c>
      <c r="P3167" t="s">
        <v>392</v>
      </c>
    </row>
    <row r="3168" spans="1:16" x14ac:dyDescent="0.3">
      <c r="A3168" t="s">
        <v>25</v>
      </c>
      <c r="B3168" s="1">
        <v>45581.539652777778</v>
      </c>
      <c r="C3168" t="str">
        <f>"41"</f>
        <v>41</v>
      </c>
      <c r="D3168" t="s">
        <v>120</v>
      </c>
      <c r="E3168" t="s">
        <v>116</v>
      </c>
      <c r="F3168" t="s">
        <v>117</v>
      </c>
      <c r="H3168" t="s">
        <v>812</v>
      </c>
      <c r="I3168" t="str">
        <f>"101050001989803"</f>
        <v>101050001989803</v>
      </c>
      <c r="J3168" t="str">
        <f>"514475"</f>
        <v>514475</v>
      </c>
      <c r="K3168" t="s">
        <v>23</v>
      </c>
      <c r="L3168">
        <v>49</v>
      </c>
      <c r="M3168">
        <v>49</v>
      </c>
      <c r="N3168">
        <v>0</v>
      </c>
      <c r="O3168" s="1">
        <v>45581.539652777778</v>
      </c>
      <c r="P3168" t="s">
        <v>392</v>
      </c>
    </row>
    <row r="3169" spans="1:16" x14ac:dyDescent="0.3">
      <c r="A3169" t="s">
        <v>25</v>
      </c>
      <c r="B3169" s="1">
        <v>45581.539039351854</v>
      </c>
      <c r="C3169" t="str">
        <f>"38"</f>
        <v>38</v>
      </c>
      <c r="D3169" t="s">
        <v>115</v>
      </c>
      <c r="E3169" t="s">
        <v>116</v>
      </c>
      <c r="F3169" t="s">
        <v>117</v>
      </c>
      <c r="H3169" t="s">
        <v>813</v>
      </c>
      <c r="L3169">
        <v>0</v>
      </c>
      <c r="M3169">
        <v>0</v>
      </c>
      <c r="N3169">
        <v>0</v>
      </c>
      <c r="O3169" s="1">
        <v>45581.539039351854</v>
      </c>
      <c r="P3169" t="s">
        <v>138</v>
      </c>
    </row>
    <row r="3170" spans="1:16" x14ac:dyDescent="0.3">
      <c r="A3170" t="s">
        <v>25</v>
      </c>
      <c r="B3170" s="1">
        <v>45581.538865740738</v>
      </c>
      <c r="C3170" t="str">
        <f>"38"</f>
        <v>38</v>
      </c>
      <c r="D3170" t="s">
        <v>115</v>
      </c>
      <c r="E3170" t="s">
        <v>116</v>
      </c>
      <c r="F3170" t="s">
        <v>117</v>
      </c>
      <c r="H3170" t="s">
        <v>814</v>
      </c>
      <c r="L3170">
        <v>0</v>
      </c>
      <c r="M3170">
        <v>0</v>
      </c>
      <c r="N3170">
        <v>0</v>
      </c>
      <c r="O3170" s="1">
        <v>45581.538865740738</v>
      </c>
      <c r="P3170" t="s">
        <v>138</v>
      </c>
    </row>
    <row r="3171" spans="1:16" x14ac:dyDescent="0.3">
      <c r="A3171" t="s">
        <v>25</v>
      </c>
      <c r="B3171" s="1">
        <v>45581.538738425923</v>
      </c>
      <c r="C3171" t="str">
        <f>"38"</f>
        <v>38</v>
      </c>
      <c r="D3171" t="s">
        <v>115</v>
      </c>
      <c r="E3171" t="s">
        <v>116</v>
      </c>
      <c r="F3171" t="s">
        <v>117</v>
      </c>
      <c r="H3171" t="s">
        <v>815</v>
      </c>
      <c r="L3171">
        <v>0</v>
      </c>
      <c r="M3171">
        <v>0</v>
      </c>
      <c r="N3171">
        <v>0</v>
      </c>
      <c r="O3171" s="1">
        <v>45581.538738425923</v>
      </c>
      <c r="P3171" t="s">
        <v>119</v>
      </c>
    </row>
    <row r="3172" spans="1:16" x14ac:dyDescent="0.3">
      <c r="A3172" t="s">
        <v>25</v>
      </c>
      <c r="B3172" s="1">
        <v>45581.538738425923</v>
      </c>
      <c r="C3172" t="str">
        <f>"41"</f>
        <v>41</v>
      </c>
      <c r="D3172" t="s">
        <v>120</v>
      </c>
      <c r="E3172" t="s">
        <v>116</v>
      </c>
      <c r="F3172" t="s">
        <v>117</v>
      </c>
      <c r="H3172" t="s">
        <v>815</v>
      </c>
      <c r="I3172" t="str">
        <f>"101050001987673"</f>
        <v>101050001987673</v>
      </c>
      <c r="J3172" t="str">
        <f>"128376"</f>
        <v>128376</v>
      </c>
      <c r="K3172" t="s">
        <v>67</v>
      </c>
      <c r="L3172">
        <v>49</v>
      </c>
      <c r="M3172">
        <v>49</v>
      </c>
      <c r="N3172">
        <v>0</v>
      </c>
      <c r="O3172" s="1">
        <v>45581.538738425923</v>
      </c>
      <c r="P3172" t="s">
        <v>119</v>
      </c>
    </row>
    <row r="3173" spans="1:16" x14ac:dyDescent="0.3">
      <c r="A3173" t="s">
        <v>25</v>
      </c>
      <c r="B3173" s="1">
        <v>45581.538738425923</v>
      </c>
      <c r="C3173" t="str">
        <f>"41"</f>
        <v>41</v>
      </c>
      <c r="D3173" t="s">
        <v>120</v>
      </c>
      <c r="E3173" t="s">
        <v>116</v>
      </c>
      <c r="F3173" t="s">
        <v>117</v>
      </c>
      <c r="H3173" t="s">
        <v>815</v>
      </c>
      <c r="I3173" t="str">
        <f>"101050001987676"</f>
        <v>101050001987676</v>
      </c>
      <c r="J3173" t="str">
        <f>"128376"</f>
        <v>128376</v>
      </c>
      <c r="K3173" t="s">
        <v>67</v>
      </c>
      <c r="L3173">
        <v>49</v>
      </c>
      <c r="M3173">
        <v>49</v>
      </c>
      <c r="N3173">
        <v>0</v>
      </c>
      <c r="O3173" s="1">
        <v>45581.538738425923</v>
      </c>
      <c r="P3173" t="s">
        <v>119</v>
      </c>
    </row>
    <row r="3174" spans="1:16" x14ac:dyDescent="0.3">
      <c r="A3174" t="s">
        <v>25</v>
      </c>
      <c r="B3174" s="1">
        <v>45581.538680555554</v>
      </c>
      <c r="C3174" t="str">
        <f>"38"</f>
        <v>38</v>
      </c>
      <c r="D3174" t="s">
        <v>115</v>
      </c>
      <c r="E3174" t="s">
        <v>116</v>
      </c>
      <c r="F3174" t="s">
        <v>117</v>
      </c>
      <c r="H3174" t="s">
        <v>816</v>
      </c>
      <c r="L3174">
        <v>0</v>
      </c>
      <c r="M3174">
        <v>0</v>
      </c>
      <c r="N3174">
        <v>0</v>
      </c>
      <c r="O3174" s="1">
        <v>45581.538680555554</v>
      </c>
      <c r="P3174" t="s">
        <v>138</v>
      </c>
    </row>
    <row r="3175" spans="1:16" x14ac:dyDescent="0.3">
      <c r="A3175" t="s">
        <v>25</v>
      </c>
      <c r="B3175" s="1">
        <v>45581.538576388892</v>
      </c>
      <c r="C3175" t="str">
        <f>"38"</f>
        <v>38</v>
      </c>
      <c r="D3175" t="s">
        <v>115</v>
      </c>
      <c r="E3175" t="s">
        <v>116</v>
      </c>
      <c r="F3175" t="s">
        <v>117</v>
      </c>
      <c r="H3175" t="s">
        <v>762</v>
      </c>
      <c r="L3175">
        <v>0</v>
      </c>
      <c r="M3175">
        <v>0</v>
      </c>
      <c r="N3175">
        <v>0</v>
      </c>
      <c r="O3175" s="1">
        <v>45581.538576388892</v>
      </c>
      <c r="P3175" t="s">
        <v>138</v>
      </c>
    </row>
    <row r="3176" spans="1:16" x14ac:dyDescent="0.3">
      <c r="A3176" t="s">
        <v>25</v>
      </c>
      <c r="B3176" s="1">
        <v>45581.538576388892</v>
      </c>
      <c r="C3176" t="str">
        <f>"41"</f>
        <v>41</v>
      </c>
      <c r="D3176" t="s">
        <v>120</v>
      </c>
      <c r="E3176" t="s">
        <v>116</v>
      </c>
      <c r="F3176" t="s">
        <v>117</v>
      </c>
      <c r="H3176" t="s">
        <v>762</v>
      </c>
      <c r="I3176" t="str">
        <f>"101050001991584"</f>
        <v>101050001991584</v>
      </c>
      <c r="J3176" t="str">
        <f>"124239"</f>
        <v>124239</v>
      </c>
      <c r="K3176" t="s">
        <v>32</v>
      </c>
      <c r="L3176">
        <v>91</v>
      </c>
      <c r="M3176">
        <v>91</v>
      </c>
      <c r="N3176">
        <v>0</v>
      </c>
      <c r="O3176" s="1">
        <v>45581.538576388892</v>
      </c>
      <c r="P3176" t="s">
        <v>138</v>
      </c>
    </row>
    <row r="3177" spans="1:16" x14ac:dyDescent="0.3">
      <c r="A3177" t="s">
        <v>25</v>
      </c>
      <c r="B3177" s="1">
        <v>45581.538726851853</v>
      </c>
      <c r="C3177" t="str">
        <f>"38"</f>
        <v>38</v>
      </c>
      <c r="D3177" t="s">
        <v>115</v>
      </c>
      <c r="E3177" t="s">
        <v>116</v>
      </c>
      <c r="F3177" t="s">
        <v>117</v>
      </c>
      <c r="H3177" t="s">
        <v>817</v>
      </c>
      <c r="L3177">
        <v>0</v>
      </c>
      <c r="M3177">
        <v>0</v>
      </c>
      <c r="N3177">
        <v>0</v>
      </c>
      <c r="O3177" s="1">
        <v>45581.538726851853</v>
      </c>
      <c r="P3177" t="s">
        <v>122</v>
      </c>
    </row>
    <row r="3178" spans="1:16" x14ac:dyDescent="0.3">
      <c r="A3178" t="s">
        <v>25</v>
      </c>
      <c r="B3178" s="1">
        <v>45581.538726851853</v>
      </c>
      <c r="C3178" t="str">
        <f>"41"</f>
        <v>41</v>
      </c>
      <c r="D3178" t="s">
        <v>120</v>
      </c>
      <c r="E3178" t="s">
        <v>116</v>
      </c>
      <c r="F3178" t="s">
        <v>117</v>
      </c>
      <c r="H3178" t="s">
        <v>817</v>
      </c>
      <c r="I3178" t="str">
        <f>"101570001108271"</f>
        <v>101570001108271</v>
      </c>
      <c r="J3178" t="str">
        <f>"48205"</f>
        <v>48205</v>
      </c>
      <c r="K3178" t="s">
        <v>20</v>
      </c>
      <c r="L3178">
        <v>49</v>
      </c>
      <c r="M3178">
        <v>49</v>
      </c>
      <c r="N3178">
        <v>0</v>
      </c>
      <c r="O3178" s="1">
        <v>45581.538726851853</v>
      </c>
      <c r="P3178" t="s">
        <v>122</v>
      </c>
    </row>
    <row r="3179" spans="1:16" x14ac:dyDescent="0.3">
      <c r="A3179" t="s">
        <v>25</v>
      </c>
      <c r="B3179" s="1">
        <v>45581.538726851853</v>
      </c>
      <c r="C3179" t="str">
        <f>"41"</f>
        <v>41</v>
      </c>
      <c r="D3179" t="s">
        <v>120</v>
      </c>
      <c r="E3179" t="s">
        <v>116</v>
      </c>
      <c r="F3179" t="s">
        <v>117</v>
      </c>
      <c r="H3179" t="s">
        <v>817</v>
      </c>
      <c r="I3179" t="str">
        <f>"101570001108449"</f>
        <v>101570001108449</v>
      </c>
      <c r="J3179" t="str">
        <f>"48205"</f>
        <v>48205</v>
      </c>
      <c r="K3179" t="s">
        <v>20</v>
      </c>
      <c r="L3179">
        <v>49</v>
      </c>
      <c r="M3179">
        <v>49</v>
      </c>
      <c r="N3179">
        <v>0</v>
      </c>
      <c r="O3179" s="1">
        <v>45581.538726851853</v>
      </c>
      <c r="P3179" t="s">
        <v>122</v>
      </c>
    </row>
    <row r="3180" spans="1:16" x14ac:dyDescent="0.3">
      <c r="A3180" t="s">
        <v>25</v>
      </c>
      <c r="B3180" s="1">
        <v>45581.537766203706</v>
      </c>
      <c r="C3180" t="str">
        <f>"38"</f>
        <v>38</v>
      </c>
      <c r="D3180" t="s">
        <v>115</v>
      </c>
      <c r="E3180" t="s">
        <v>116</v>
      </c>
      <c r="F3180" t="s">
        <v>117</v>
      </c>
      <c r="H3180" t="s">
        <v>818</v>
      </c>
      <c r="L3180">
        <v>0</v>
      </c>
      <c r="M3180">
        <v>0</v>
      </c>
      <c r="N3180">
        <v>0</v>
      </c>
      <c r="O3180" s="1">
        <v>45581.537766203706</v>
      </c>
      <c r="P3180" t="s">
        <v>119</v>
      </c>
    </row>
    <row r="3181" spans="1:16" x14ac:dyDescent="0.3">
      <c r="A3181" t="s">
        <v>25</v>
      </c>
      <c r="B3181" s="1">
        <v>45581.537766203706</v>
      </c>
      <c r="C3181" t="str">
        <f>"41"</f>
        <v>41</v>
      </c>
      <c r="D3181" t="s">
        <v>120</v>
      </c>
      <c r="E3181" t="s">
        <v>116</v>
      </c>
      <c r="F3181" t="s">
        <v>117</v>
      </c>
      <c r="H3181" t="s">
        <v>818</v>
      </c>
      <c r="I3181" t="str">
        <f>"101050001831126"</f>
        <v>101050001831126</v>
      </c>
      <c r="J3181" t="str">
        <f>"48600"</f>
        <v>48600</v>
      </c>
      <c r="K3181" t="s">
        <v>81</v>
      </c>
      <c r="L3181">
        <v>49</v>
      </c>
      <c r="M3181">
        <v>49</v>
      </c>
      <c r="N3181">
        <v>0</v>
      </c>
      <c r="O3181" s="1">
        <v>45581.537766203706</v>
      </c>
      <c r="P3181" t="s">
        <v>119</v>
      </c>
    </row>
    <row r="3182" spans="1:16" x14ac:dyDescent="0.3">
      <c r="A3182" t="s">
        <v>25</v>
      </c>
      <c r="B3182" s="1">
        <v>45581.537766203706</v>
      </c>
      <c r="C3182" t="str">
        <f>"41"</f>
        <v>41</v>
      </c>
      <c r="D3182" t="s">
        <v>120</v>
      </c>
      <c r="E3182" t="s">
        <v>116</v>
      </c>
      <c r="F3182" t="s">
        <v>117</v>
      </c>
      <c r="H3182" t="s">
        <v>818</v>
      </c>
      <c r="I3182" t="str">
        <f>"101050001830758"</f>
        <v>101050001830758</v>
      </c>
      <c r="J3182" t="str">
        <f>"48600"</f>
        <v>48600</v>
      </c>
      <c r="K3182" t="s">
        <v>81</v>
      </c>
      <c r="L3182">
        <v>49</v>
      </c>
      <c r="M3182">
        <v>49</v>
      </c>
      <c r="N3182">
        <v>0</v>
      </c>
      <c r="O3182" s="1">
        <v>45581.537766203706</v>
      </c>
      <c r="P3182" t="s">
        <v>119</v>
      </c>
    </row>
    <row r="3183" spans="1:16" x14ac:dyDescent="0.3">
      <c r="A3183" t="s">
        <v>25</v>
      </c>
      <c r="B3183" s="1">
        <v>45581.537766203706</v>
      </c>
      <c r="C3183" t="str">
        <f>"39"</f>
        <v>39</v>
      </c>
      <c r="D3183" t="s">
        <v>467</v>
      </c>
      <c r="E3183" t="s">
        <v>116</v>
      </c>
      <c r="F3183" t="s">
        <v>117</v>
      </c>
      <c r="G3183" t="s">
        <v>221</v>
      </c>
      <c r="H3183" t="s">
        <v>818</v>
      </c>
      <c r="I3183" t="str">
        <f>"101050001830758"</f>
        <v>101050001830758</v>
      </c>
      <c r="J3183" t="str">
        <f>"48600"</f>
        <v>48600</v>
      </c>
      <c r="K3183" t="s">
        <v>81</v>
      </c>
      <c r="L3183">
        <v>0</v>
      </c>
      <c r="M3183">
        <v>49</v>
      </c>
      <c r="N3183">
        <v>49</v>
      </c>
      <c r="O3183" s="1">
        <v>45581.537766203706</v>
      </c>
      <c r="P3183" t="s">
        <v>119</v>
      </c>
    </row>
    <row r="3184" spans="1:16" x14ac:dyDescent="0.3">
      <c r="A3184" t="s">
        <v>25</v>
      </c>
      <c r="B3184" s="1">
        <v>45581.537766203706</v>
      </c>
      <c r="C3184" t="str">
        <f>"41"</f>
        <v>41</v>
      </c>
      <c r="D3184" t="s">
        <v>120</v>
      </c>
      <c r="E3184" t="s">
        <v>116</v>
      </c>
      <c r="F3184" t="s">
        <v>117</v>
      </c>
      <c r="H3184" t="s">
        <v>818</v>
      </c>
      <c r="I3184" t="str">
        <f>"101050001830759"</f>
        <v>101050001830759</v>
      </c>
      <c r="J3184" t="str">
        <f>"48600"</f>
        <v>48600</v>
      </c>
      <c r="K3184" t="s">
        <v>81</v>
      </c>
      <c r="L3184">
        <v>49</v>
      </c>
      <c r="M3184">
        <v>49</v>
      </c>
      <c r="N3184">
        <v>0</v>
      </c>
      <c r="O3184" s="1">
        <v>45581.537766203706</v>
      </c>
      <c r="P3184" t="s">
        <v>119</v>
      </c>
    </row>
    <row r="3185" spans="1:16" x14ac:dyDescent="0.3">
      <c r="A3185" t="s">
        <v>25</v>
      </c>
      <c r="B3185" s="1">
        <v>45581.537291666667</v>
      </c>
      <c r="C3185" t="str">
        <f>"38"</f>
        <v>38</v>
      </c>
      <c r="D3185" t="s">
        <v>115</v>
      </c>
      <c r="E3185" t="s">
        <v>116</v>
      </c>
      <c r="F3185" t="s">
        <v>117</v>
      </c>
      <c r="H3185" t="s">
        <v>798</v>
      </c>
      <c r="L3185">
        <v>0</v>
      </c>
      <c r="M3185">
        <v>0</v>
      </c>
      <c r="N3185">
        <v>0</v>
      </c>
      <c r="O3185" s="1">
        <v>45581.537291666667</v>
      </c>
      <c r="P3185" t="s">
        <v>122</v>
      </c>
    </row>
    <row r="3186" spans="1:16" x14ac:dyDescent="0.3">
      <c r="A3186" t="s">
        <v>25</v>
      </c>
      <c r="B3186" s="1">
        <v>45581.537175925929</v>
      </c>
      <c r="C3186" t="str">
        <f>"38"</f>
        <v>38</v>
      </c>
      <c r="D3186" t="s">
        <v>115</v>
      </c>
      <c r="E3186" t="s">
        <v>116</v>
      </c>
      <c r="F3186" t="s">
        <v>117</v>
      </c>
      <c r="H3186" t="s">
        <v>819</v>
      </c>
      <c r="L3186">
        <v>0</v>
      </c>
      <c r="M3186">
        <v>0</v>
      </c>
      <c r="N3186">
        <v>0</v>
      </c>
      <c r="O3186" s="1">
        <v>45581.537175925929</v>
      </c>
      <c r="P3186" t="s">
        <v>122</v>
      </c>
    </row>
    <row r="3187" spans="1:16" x14ac:dyDescent="0.3">
      <c r="A3187" t="s">
        <v>25</v>
      </c>
      <c r="B3187" s="1">
        <v>45581.537083333336</v>
      </c>
      <c r="C3187" t="str">
        <f>"38"</f>
        <v>38</v>
      </c>
      <c r="D3187" t="s">
        <v>115</v>
      </c>
      <c r="E3187" t="s">
        <v>116</v>
      </c>
      <c r="F3187" t="s">
        <v>117</v>
      </c>
      <c r="H3187" t="s">
        <v>818</v>
      </c>
      <c r="L3187">
        <v>0</v>
      </c>
      <c r="M3187">
        <v>0</v>
      </c>
      <c r="N3187">
        <v>0</v>
      </c>
      <c r="O3187" s="1">
        <v>45581.537083333336</v>
      </c>
      <c r="P3187" t="s">
        <v>119</v>
      </c>
    </row>
    <row r="3188" spans="1:16" x14ac:dyDescent="0.3">
      <c r="A3188" t="s">
        <v>25</v>
      </c>
      <c r="B3188" s="1">
        <v>45581.537083333336</v>
      </c>
      <c r="C3188" t="str">
        <f>"40"</f>
        <v>40</v>
      </c>
      <c r="D3188" t="s">
        <v>220</v>
      </c>
      <c r="E3188" t="s">
        <v>116</v>
      </c>
      <c r="F3188" t="s">
        <v>117</v>
      </c>
      <c r="G3188" t="s">
        <v>221</v>
      </c>
      <c r="H3188" t="s">
        <v>818</v>
      </c>
      <c r="I3188" t="str">
        <f>"101050001830758"</f>
        <v>101050001830758</v>
      </c>
      <c r="J3188" t="str">
        <f>"48600"</f>
        <v>48600</v>
      </c>
      <c r="K3188" t="s">
        <v>81</v>
      </c>
      <c r="L3188">
        <v>49</v>
      </c>
      <c r="M3188">
        <v>0</v>
      </c>
      <c r="N3188">
        <v>-49</v>
      </c>
      <c r="O3188" s="1">
        <v>45581.537083333336</v>
      </c>
      <c r="P3188" t="s">
        <v>119</v>
      </c>
    </row>
    <row r="3189" spans="1:16" x14ac:dyDescent="0.3">
      <c r="A3189" t="s">
        <v>25</v>
      </c>
      <c r="B3189" s="1">
        <v>45581.53707175926</v>
      </c>
      <c r="C3189" t="str">
        <f>"41"</f>
        <v>41</v>
      </c>
      <c r="D3189" t="s">
        <v>120</v>
      </c>
      <c r="E3189" t="s">
        <v>116</v>
      </c>
      <c r="F3189" t="s">
        <v>117</v>
      </c>
      <c r="H3189" t="s">
        <v>818</v>
      </c>
      <c r="I3189" t="str">
        <f>"101050001831126"</f>
        <v>101050001831126</v>
      </c>
      <c r="J3189" t="str">
        <f>"48600"</f>
        <v>48600</v>
      </c>
      <c r="K3189" t="s">
        <v>81</v>
      </c>
      <c r="L3189">
        <v>49</v>
      </c>
      <c r="M3189">
        <v>49</v>
      </c>
      <c r="N3189">
        <v>0</v>
      </c>
      <c r="O3189" s="1">
        <v>45581.53707175926</v>
      </c>
      <c r="P3189" t="s">
        <v>119</v>
      </c>
    </row>
    <row r="3190" spans="1:16" x14ac:dyDescent="0.3">
      <c r="A3190" t="s">
        <v>25</v>
      </c>
      <c r="B3190" s="1">
        <v>45581.53707175926</v>
      </c>
      <c r="C3190" t="str">
        <f>"41"</f>
        <v>41</v>
      </c>
      <c r="D3190" t="s">
        <v>120</v>
      </c>
      <c r="E3190" t="s">
        <v>116</v>
      </c>
      <c r="F3190" t="s">
        <v>117</v>
      </c>
      <c r="H3190" t="s">
        <v>818</v>
      </c>
      <c r="I3190" t="str">
        <f>"101050001830759"</f>
        <v>101050001830759</v>
      </c>
      <c r="J3190" t="str">
        <f>"48600"</f>
        <v>48600</v>
      </c>
      <c r="K3190" t="s">
        <v>81</v>
      </c>
      <c r="L3190">
        <v>49</v>
      </c>
      <c r="M3190">
        <v>49</v>
      </c>
      <c r="N3190">
        <v>0</v>
      </c>
      <c r="O3190" s="1">
        <v>45581.53707175926</v>
      </c>
      <c r="P3190" t="s">
        <v>119</v>
      </c>
    </row>
    <row r="3191" spans="1:16" x14ac:dyDescent="0.3">
      <c r="A3191" t="s">
        <v>25</v>
      </c>
      <c r="B3191" s="1">
        <v>45581.536562499998</v>
      </c>
      <c r="C3191" t="str">
        <f>"38"</f>
        <v>38</v>
      </c>
      <c r="D3191" t="s">
        <v>115</v>
      </c>
      <c r="E3191" t="s">
        <v>116</v>
      </c>
      <c r="F3191" t="s">
        <v>117</v>
      </c>
      <c r="H3191" t="s">
        <v>820</v>
      </c>
      <c r="L3191">
        <v>0</v>
      </c>
      <c r="M3191">
        <v>0</v>
      </c>
      <c r="N3191">
        <v>0</v>
      </c>
      <c r="O3191" s="1">
        <v>45581.536562499998</v>
      </c>
      <c r="P3191" t="s">
        <v>119</v>
      </c>
    </row>
    <row r="3192" spans="1:16" x14ac:dyDescent="0.3">
      <c r="A3192" t="s">
        <v>25</v>
      </c>
      <c r="B3192" s="1">
        <v>45581.536562499998</v>
      </c>
      <c r="C3192" t="str">
        <f>"41"</f>
        <v>41</v>
      </c>
      <c r="D3192" t="s">
        <v>120</v>
      </c>
      <c r="E3192" t="s">
        <v>116</v>
      </c>
      <c r="F3192" t="s">
        <v>117</v>
      </c>
      <c r="H3192" t="s">
        <v>820</v>
      </c>
      <c r="I3192" t="str">
        <f>"101050002009058"</f>
        <v>101050002009058</v>
      </c>
      <c r="J3192" t="str">
        <f>"514846"</f>
        <v>514846</v>
      </c>
      <c r="K3192" t="s">
        <v>18</v>
      </c>
      <c r="L3192">
        <v>49</v>
      </c>
      <c r="M3192">
        <v>49</v>
      </c>
      <c r="N3192">
        <v>0</v>
      </c>
      <c r="O3192" s="1">
        <v>45581.536562499998</v>
      </c>
      <c r="P3192" t="s">
        <v>119</v>
      </c>
    </row>
    <row r="3193" spans="1:16" x14ac:dyDescent="0.3">
      <c r="A3193" t="s">
        <v>25</v>
      </c>
      <c r="B3193" s="1">
        <v>45581.536562499998</v>
      </c>
      <c r="C3193" t="str">
        <f>"41"</f>
        <v>41</v>
      </c>
      <c r="D3193" t="s">
        <v>120</v>
      </c>
      <c r="E3193" t="s">
        <v>116</v>
      </c>
      <c r="F3193" t="s">
        <v>117</v>
      </c>
      <c r="H3193" t="s">
        <v>820</v>
      </c>
      <c r="I3193" t="str">
        <f>"101050002009818"</f>
        <v>101050002009818</v>
      </c>
      <c r="J3193" t="str">
        <f>"514846"</f>
        <v>514846</v>
      </c>
      <c r="K3193" t="s">
        <v>18</v>
      </c>
      <c r="L3193">
        <v>49</v>
      </c>
      <c r="M3193">
        <v>49</v>
      </c>
      <c r="N3193">
        <v>0</v>
      </c>
      <c r="O3193" s="1">
        <v>45581.536562499998</v>
      </c>
      <c r="P3193" t="s">
        <v>119</v>
      </c>
    </row>
    <row r="3194" spans="1:16" x14ac:dyDescent="0.3">
      <c r="A3194" t="s">
        <v>25</v>
      </c>
      <c r="B3194" s="1">
        <v>45581.536423611113</v>
      </c>
      <c r="C3194" t="str">
        <f>"38"</f>
        <v>38</v>
      </c>
      <c r="D3194" t="s">
        <v>115</v>
      </c>
      <c r="E3194" t="s">
        <v>116</v>
      </c>
      <c r="F3194" t="s">
        <v>117</v>
      </c>
      <c r="H3194" t="s">
        <v>806</v>
      </c>
      <c r="L3194">
        <v>0</v>
      </c>
      <c r="M3194">
        <v>0</v>
      </c>
      <c r="N3194">
        <v>0</v>
      </c>
      <c r="O3194" s="1">
        <v>45581.536423611113</v>
      </c>
      <c r="P3194" t="s">
        <v>122</v>
      </c>
    </row>
    <row r="3195" spans="1:16" x14ac:dyDescent="0.3">
      <c r="A3195" t="s">
        <v>25</v>
      </c>
      <c r="B3195" s="1">
        <v>45581.53570601852</v>
      </c>
      <c r="C3195" t="str">
        <f>"38"</f>
        <v>38</v>
      </c>
      <c r="D3195" t="s">
        <v>115</v>
      </c>
      <c r="E3195" t="s">
        <v>116</v>
      </c>
      <c r="F3195" t="s">
        <v>117</v>
      </c>
      <c r="H3195" t="s">
        <v>821</v>
      </c>
      <c r="L3195">
        <v>0</v>
      </c>
      <c r="M3195">
        <v>0</v>
      </c>
      <c r="N3195">
        <v>0</v>
      </c>
      <c r="O3195" s="1">
        <v>45581.53570601852</v>
      </c>
      <c r="P3195" t="s">
        <v>122</v>
      </c>
    </row>
    <row r="3196" spans="1:16" x14ac:dyDescent="0.3">
      <c r="A3196" t="s">
        <v>25</v>
      </c>
      <c r="B3196" s="1">
        <v>45581.535578703704</v>
      </c>
      <c r="C3196" t="str">
        <f>"38"</f>
        <v>38</v>
      </c>
      <c r="D3196" t="s">
        <v>115</v>
      </c>
      <c r="E3196" t="s">
        <v>116</v>
      </c>
      <c r="F3196" t="s">
        <v>117</v>
      </c>
      <c r="H3196" t="s">
        <v>822</v>
      </c>
      <c r="L3196">
        <v>0</v>
      </c>
      <c r="M3196">
        <v>0</v>
      </c>
      <c r="N3196">
        <v>0</v>
      </c>
      <c r="O3196" s="1">
        <v>45581.535578703704</v>
      </c>
      <c r="P3196" t="s">
        <v>122</v>
      </c>
    </row>
    <row r="3197" spans="1:16" x14ac:dyDescent="0.3">
      <c r="A3197" t="s">
        <v>25</v>
      </c>
      <c r="B3197" s="1">
        <v>45581.535486111112</v>
      </c>
      <c r="C3197" t="str">
        <f>"38"</f>
        <v>38</v>
      </c>
      <c r="D3197" t="s">
        <v>115</v>
      </c>
      <c r="E3197" t="s">
        <v>116</v>
      </c>
      <c r="F3197" t="s">
        <v>117</v>
      </c>
      <c r="H3197" t="s">
        <v>823</v>
      </c>
      <c r="L3197">
        <v>0</v>
      </c>
      <c r="M3197">
        <v>0</v>
      </c>
      <c r="N3197">
        <v>0</v>
      </c>
      <c r="O3197" s="1">
        <v>45581.535486111112</v>
      </c>
      <c r="P3197" t="s">
        <v>122</v>
      </c>
    </row>
    <row r="3198" spans="1:16" x14ac:dyDescent="0.3">
      <c r="A3198" t="s">
        <v>25</v>
      </c>
      <c r="B3198" s="1">
        <v>45581.535104166665</v>
      </c>
      <c r="C3198" t="str">
        <f>"38"</f>
        <v>38</v>
      </c>
      <c r="D3198" t="s">
        <v>115</v>
      </c>
      <c r="E3198" t="s">
        <v>116</v>
      </c>
      <c r="F3198" t="s">
        <v>117</v>
      </c>
      <c r="H3198" t="s">
        <v>824</v>
      </c>
      <c r="L3198">
        <v>0</v>
      </c>
      <c r="M3198">
        <v>0</v>
      </c>
      <c r="N3198">
        <v>0</v>
      </c>
      <c r="O3198" s="1">
        <v>45581.535104166665</v>
      </c>
      <c r="P3198" t="s">
        <v>122</v>
      </c>
    </row>
    <row r="3199" spans="1:16" x14ac:dyDescent="0.3">
      <c r="A3199" t="s">
        <v>25</v>
      </c>
      <c r="B3199" s="1">
        <v>45581.535092592596</v>
      </c>
      <c r="C3199" t="str">
        <f>"41"</f>
        <v>41</v>
      </c>
      <c r="D3199" t="s">
        <v>120</v>
      </c>
      <c r="E3199" t="s">
        <v>116</v>
      </c>
      <c r="F3199" t="s">
        <v>117</v>
      </c>
      <c r="H3199" t="s">
        <v>824</v>
      </c>
      <c r="I3199" t="str">
        <f>"101050002011184"</f>
        <v>101050002011184</v>
      </c>
      <c r="J3199" t="str">
        <f>"128343"</f>
        <v>128343</v>
      </c>
      <c r="K3199" t="s">
        <v>66</v>
      </c>
      <c r="L3199">
        <v>49</v>
      </c>
      <c r="M3199">
        <v>49</v>
      </c>
      <c r="N3199">
        <v>0</v>
      </c>
      <c r="O3199" s="1">
        <v>45581.535092592596</v>
      </c>
      <c r="P3199" t="s">
        <v>122</v>
      </c>
    </row>
    <row r="3200" spans="1:16" x14ac:dyDescent="0.3">
      <c r="A3200" t="s">
        <v>25</v>
      </c>
      <c r="B3200" s="1">
        <v>45581.538888888892</v>
      </c>
      <c r="C3200" t="str">
        <f>"38"</f>
        <v>38</v>
      </c>
      <c r="D3200" t="s">
        <v>115</v>
      </c>
      <c r="E3200" t="s">
        <v>116</v>
      </c>
      <c r="F3200" t="s">
        <v>117</v>
      </c>
      <c r="H3200" t="s">
        <v>825</v>
      </c>
      <c r="L3200">
        <v>0</v>
      </c>
      <c r="M3200">
        <v>0</v>
      </c>
      <c r="N3200">
        <v>0</v>
      </c>
      <c r="O3200" s="1">
        <v>45581.538888888892</v>
      </c>
      <c r="P3200" t="s">
        <v>392</v>
      </c>
    </row>
    <row r="3201" spans="1:16" x14ac:dyDescent="0.3">
      <c r="A3201" t="s">
        <v>25</v>
      </c>
      <c r="B3201" s="1">
        <v>45581.538888888892</v>
      </c>
      <c r="C3201" t="str">
        <f>"41"</f>
        <v>41</v>
      </c>
      <c r="D3201" t="s">
        <v>120</v>
      </c>
      <c r="E3201" t="s">
        <v>116</v>
      </c>
      <c r="F3201" t="s">
        <v>117</v>
      </c>
      <c r="H3201" t="s">
        <v>825</v>
      </c>
      <c r="I3201" t="str">
        <f>"101050002003778"</f>
        <v>101050002003778</v>
      </c>
      <c r="J3201" t="str">
        <f>"0800"</f>
        <v>0800</v>
      </c>
      <c r="K3201" t="s">
        <v>26</v>
      </c>
      <c r="L3201">
        <v>49</v>
      </c>
      <c r="M3201">
        <v>49</v>
      </c>
      <c r="N3201">
        <v>0</v>
      </c>
      <c r="O3201" s="1">
        <v>45581.538888888892</v>
      </c>
      <c r="P3201" t="s">
        <v>392</v>
      </c>
    </row>
    <row r="3202" spans="1:16" x14ac:dyDescent="0.3">
      <c r="A3202" t="s">
        <v>25</v>
      </c>
      <c r="B3202" s="1">
        <v>45581.538576388892</v>
      </c>
      <c r="C3202" t="str">
        <f>"38"</f>
        <v>38</v>
      </c>
      <c r="D3202" t="s">
        <v>115</v>
      </c>
      <c r="E3202" t="s">
        <v>116</v>
      </c>
      <c r="F3202" t="s">
        <v>117</v>
      </c>
      <c r="H3202" t="s">
        <v>465</v>
      </c>
      <c r="L3202">
        <v>0</v>
      </c>
      <c r="M3202">
        <v>0</v>
      </c>
      <c r="N3202">
        <v>0</v>
      </c>
      <c r="O3202" s="1">
        <v>45581.538576388892</v>
      </c>
      <c r="P3202" t="s">
        <v>392</v>
      </c>
    </row>
    <row r="3203" spans="1:16" x14ac:dyDescent="0.3">
      <c r="A3203" t="s">
        <v>25</v>
      </c>
      <c r="B3203" s="1">
        <v>45581.538576388892</v>
      </c>
      <c r="C3203" t="str">
        <f t="shared" ref="C3203:C3209" si="595">"41"</f>
        <v>41</v>
      </c>
      <c r="D3203" t="s">
        <v>120</v>
      </c>
      <c r="E3203" t="s">
        <v>116</v>
      </c>
      <c r="F3203" t="s">
        <v>117</v>
      </c>
      <c r="H3203" t="s">
        <v>465</v>
      </c>
      <c r="I3203" t="str">
        <f>"101050002024362"</f>
        <v>101050002024362</v>
      </c>
      <c r="J3203" t="str">
        <f t="shared" ref="J3203:J3209" si="596">"514568"</f>
        <v>514568</v>
      </c>
      <c r="K3203" t="s">
        <v>87</v>
      </c>
      <c r="L3203">
        <v>49</v>
      </c>
      <c r="M3203">
        <v>49</v>
      </c>
      <c r="N3203">
        <v>0</v>
      </c>
      <c r="O3203" s="1">
        <v>45581.538576388892</v>
      </c>
      <c r="P3203" t="s">
        <v>392</v>
      </c>
    </row>
    <row r="3204" spans="1:16" x14ac:dyDescent="0.3">
      <c r="A3204" t="s">
        <v>25</v>
      </c>
      <c r="B3204" s="1">
        <v>45581.538576388892</v>
      </c>
      <c r="C3204" t="str">
        <f t="shared" si="595"/>
        <v>41</v>
      </c>
      <c r="D3204" t="s">
        <v>120</v>
      </c>
      <c r="E3204" t="s">
        <v>116</v>
      </c>
      <c r="F3204" t="s">
        <v>117</v>
      </c>
      <c r="H3204" t="s">
        <v>465</v>
      </c>
      <c r="I3204" t="str">
        <f>"101050002024361"</f>
        <v>101050002024361</v>
      </c>
      <c r="J3204" t="str">
        <f t="shared" si="596"/>
        <v>514568</v>
      </c>
      <c r="K3204" t="s">
        <v>87</v>
      </c>
      <c r="L3204">
        <v>49</v>
      </c>
      <c r="M3204">
        <v>49</v>
      </c>
      <c r="N3204">
        <v>0</v>
      </c>
      <c r="O3204" s="1">
        <v>45581.538576388892</v>
      </c>
      <c r="P3204" t="s">
        <v>392</v>
      </c>
    </row>
    <row r="3205" spans="1:16" x14ac:dyDescent="0.3">
      <c r="A3205" t="s">
        <v>25</v>
      </c>
      <c r="B3205" s="1">
        <v>45581.538576388892</v>
      </c>
      <c r="C3205" t="str">
        <f t="shared" si="595"/>
        <v>41</v>
      </c>
      <c r="D3205" t="s">
        <v>120</v>
      </c>
      <c r="E3205" t="s">
        <v>116</v>
      </c>
      <c r="F3205" t="s">
        <v>117</v>
      </c>
      <c r="H3205" t="s">
        <v>465</v>
      </c>
      <c r="I3205" t="str">
        <f>"101050002024360"</f>
        <v>101050002024360</v>
      </c>
      <c r="J3205" t="str">
        <f t="shared" si="596"/>
        <v>514568</v>
      </c>
      <c r="K3205" t="s">
        <v>87</v>
      </c>
      <c r="L3205">
        <v>49</v>
      </c>
      <c r="M3205">
        <v>49</v>
      </c>
      <c r="N3205">
        <v>0</v>
      </c>
      <c r="O3205" s="1">
        <v>45581.538576388892</v>
      </c>
      <c r="P3205" t="s">
        <v>392</v>
      </c>
    </row>
    <row r="3206" spans="1:16" x14ac:dyDescent="0.3">
      <c r="A3206" t="s">
        <v>25</v>
      </c>
      <c r="B3206" s="1">
        <v>45581.538576388892</v>
      </c>
      <c r="C3206" t="str">
        <f t="shared" si="595"/>
        <v>41</v>
      </c>
      <c r="D3206" t="s">
        <v>120</v>
      </c>
      <c r="E3206" t="s">
        <v>116</v>
      </c>
      <c r="F3206" t="s">
        <v>117</v>
      </c>
      <c r="H3206" t="s">
        <v>465</v>
      </c>
      <c r="I3206" t="str">
        <f>"101050001974412"</f>
        <v>101050001974412</v>
      </c>
      <c r="J3206" t="str">
        <f t="shared" si="596"/>
        <v>514568</v>
      </c>
      <c r="K3206" t="s">
        <v>87</v>
      </c>
      <c r="L3206">
        <v>49</v>
      </c>
      <c r="M3206">
        <v>49</v>
      </c>
      <c r="N3206">
        <v>0</v>
      </c>
      <c r="O3206" s="1">
        <v>45581.538576388892</v>
      </c>
      <c r="P3206" t="s">
        <v>392</v>
      </c>
    </row>
    <row r="3207" spans="1:16" x14ac:dyDescent="0.3">
      <c r="A3207" t="s">
        <v>25</v>
      </c>
      <c r="B3207" s="1">
        <v>45581.538576388892</v>
      </c>
      <c r="C3207" t="str">
        <f t="shared" si="595"/>
        <v>41</v>
      </c>
      <c r="D3207" t="s">
        <v>120</v>
      </c>
      <c r="E3207" t="s">
        <v>116</v>
      </c>
      <c r="F3207" t="s">
        <v>117</v>
      </c>
      <c r="H3207" t="s">
        <v>465</v>
      </c>
      <c r="I3207" t="str">
        <f>"101050001976099"</f>
        <v>101050001976099</v>
      </c>
      <c r="J3207" t="str">
        <f t="shared" si="596"/>
        <v>514568</v>
      </c>
      <c r="K3207" t="s">
        <v>87</v>
      </c>
      <c r="L3207">
        <v>49</v>
      </c>
      <c r="M3207">
        <v>49</v>
      </c>
      <c r="N3207">
        <v>0</v>
      </c>
      <c r="O3207" s="1">
        <v>45581.538576388892</v>
      </c>
      <c r="P3207" t="s">
        <v>392</v>
      </c>
    </row>
    <row r="3208" spans="1:16" x14ac:dyDescent="0.3">
      <c r="A3208" t="s">
        <v>25</v>
      </c>
      <c r="B3208" s="1">
        <v>45581.538576388892</v>
      </c>
      <c r="C3208" t="str">
        <f t="shared" si="595"/>
        <v>41</v>
      </c>
      <c r="D3208" t="s">
        <v>120</v>
      </c>
      <c r="E3208" t="s">
        <v>116</v>
      </c>
      <c r="F3208" t="s">
        <v>117</v>
      </c>
      <c r="H3208" t="s">
        <v>465</v>
      </c>
      <c r="I3208" t="str">
        <f>"101050001976340"</f>
        <v>101050001976340</v>
      </c>
      <c r="J3208" t="str">
        <f t="shared" si="596"/>
        <v>514568</v>
      </c>
      <c r="K3208" t="s">
        <v>87</v>
      </c>
      <c r="L3208">
        <v>49</v>
      </c>
      <c r="M3208">
        <v>49</v>
      </c>
      <c r="N3208">
        <v>0</v>
      </c>
      <c r="O3208" s="1">
        <v>45581.538576388892</v>
      </c>
      <c r="P3208" t="s">
        <v>392</v>
      </c>
    </row>
    <row r="3209" spans="1:16" x14ac:dyDescent="0.3">
      <c r="A3209" t="s">
        <v>25</v>
      </c>
      <c r="B3209" s="1">
        <v>45581.538564814815</v>
      </c>
      <c r="C3209" t="str">
        <f t="shared" si="595"/>
        <v>41</v>
      </c>
      <c r="D3209" t="s">
        <v>120</v>
      </c>
      <c r="E3209" t="s">
        <v>116</v>
      </c>
      <c r="F3209" t="s">
        <v>117</v>
      </c>
      <c r="H3209" t="s">
        <v>465</v>
      </c>
      <c r="I3209" t="str">
        <f>"101050001975240"</f>
        <v>101050001975240</v>
      </c>
      <c r="J3209" t="str">
        <f t="shared" si="596"/>
        <v>514568</v>
      </c>
      <c r="K3209" t="s">
        <v>87</v>
      </c>
      <c r="L3209">
        <v>49</v>
      </c>
      <c r="M3209">
        <v>49</v>
      </c>
      <c r="N3209">
        <v>0</v>
      </c>
      <c r="O3209" s="1">
        <v>45581.538564814815</v>
      </c>
      <c r="P3209" t="s">
        <v>392</v>
      </c>
    </row>
    <row r="3210" spans="1:16" x14ac:dyDescent="0.3">
      <c r="A3210" t="s">
        <v>25</v>
      </c>
      <c r="B3210" s="1">
        <v>45581.538055555553</v>
      </c>
      <c r="C3210" t="str">
        <f>"38"</f>
        <v>38</v>
      </c>
      <c r="D3210" t="s">
        <v>115</v>
      </c>
      <c r="E3210" t="s">
        <v>116</v>
      </c>
      <c r="F3210" t="s">
        <v>117</v>
      </c>
      <c r="H3210" t="s">
        <v>826</v>
      </c>
      <c r="L3210">
        <v>0</v>
      </c>
      <c r="M3210">
        <v>0</v>
      </c>
      <c r="N3210">
        <v>0</v>
      </c>
      <c r="O3210" s="1">
        <v>45581.538055555553</v>
      </c>
      <c r="P3210" t="s">
        <v>392</v>
      </c>
    </row>
    <row r="3211" spans="1:16" x14ac:dyDescent="0.3">
      <c r="A3211" t="s">
        <v>25</v>
      </c>
      <c r="B3211" s="1">
        <v>45581.538055555553</v>
      </c>
      <c r="C3211" t="str">
        <f t="shared" ref="C3211:C3217" si="597">"41"</f>
        <v>41</v>
      </c>
      <c r="D3211" t="s">
        <v>120</v>
      </c>
      <c r="E3211" t="s">
        <v>116</v>
      </c>
      <c r="F3211" t="s">
        <v>117</v>
      </c>
      <c r="H3211" t="s">
        <v>826</v>
      </c>
      <c r="I3211" t="str">
        <f>"101050002008401"</f>
        <v>101050002008401</v>
      </c>
      <c r="J3211" t="str">
        <f t="shared" ref="J3211:J3217" si="598">"31090"</f>
        <v>31090</v>
      </c>
      <c r="K3211" t="s">
        <v>76</v>
      </c>
      <c r="L3211">
        <v>49</v>
      </c>
      <c r="M3211">
        <v>49</v>
      </c>
      <c r="N3211">
        <v>0</v>
      </c>
      <c r="O3211" s="1">
        <v>45581.538055555553</v>
      </c>
      <c r="P3211" t="s">
        <v>392</v>
      </c>
    </row>
    <row r="3212" spans="1:16" x14ac:dyDescent="0.3">
      <c r="A3212" t="s">
        <v>25</v>
      </c>
      <c r="B3212" s="1">
        <v>45581.538055555553</v>
      </c>
      <c r="C3212" t="str">
        <f t="shared" si="597"/>
        <v>41</v>
      </c>
      <c r="D3212" t="s">
        <v>120</v>
      </c>
      <c r="E3212" t="s">
        <v>116</v>
      </c>
      <c r="F3212" t="s">
        <v>117</v>
      </c>
      <c r="H3212" t="s">
        <v>826</v>
      </c>
      <c r="I3212" t="str">
        <f>"101050002006050"</f>
        <v>101050002006050</v>
      </c>
      <c r="J3212" t="str">
        <f t="shared" si="598"/>
        <v>31090</v>
      </c>
      <c r="K3212" t="s">
        <v>76</v>
      </c>
      <c r="L3212">
        <v>49</v>
      </c>
      <c r="M3212">
        <v>49</v>
      </c>
      <c r="N3212">
        <v>0</v>
      </c>
      <c r="O3212" s="1">
        <v>45581.538055555553</v>
      </c>
      <c r="P3212" t="s">
        <v>392</v>
      </c>
    </row>
    <row r="3213" spans="1:16" x14ac:dyDescent="0.3">
      <c r="A3213" t="s">
        <v>25</v>
      </c>
      <c r="B3213" s="1">
        <v>45581.538055555553</v>
      </c>
      <c r="C3213" t="str">
        <f t="shared" si="597"/>
        <v>41</v>
      </c>
      <c r="D3213" t="s">
        <v>120</v>
      </c>
      <c r="E3213" t="s">
        <v>116</v>
      </c>
      <c r="F3213" t="s">
        <v>117</v>
      </c>
      <c r="H3213" t="s">
        <v>826</v>
      </c>
      <c r="I3213" t="str">
        <f>"101050002006044"</f>
        <v>101050002006044</v>
      </c>
      <c r="J3213" t="str">
        <f t="shared" si="598"/>
        <v>31090</v>
      </c>
      <c r="K3213" t="s">
        <v>76</v>
      </c>
      <c r="L3213">
        <v>49</v>
      </c>
      <c r="M3213">
        <v>49</v>
      </c>
      <c r="N3213">
        <v>0</v>
      </c>
      <c r="O3213" s="1">
        <v>45581.538055555553</v>
      </c>
      <c r="P3213" t="s">
        <v>392</v>
      </c>
    </row>
    <row r="3214" spans="1:16" x14ac:dyDescent="0.3">
      <c r="A3214" t="s">
        <v>25</v>
      </c>
      <c r="B3214" s="1">
        <v>45581.538043981483</v>
      </c>
      <c r="C3214" t="str">
        <f t="shared" si="597"/>
        <v>41</v>
      </c>
      <c r="D3214" t="s">
        <v>120</v>
      </c>
      <c r="E3214" t="s">
        <v>116</v>
      </c>
      <c r="F3214" t="s">
        <v>117</v>
      </c>
      <c r="H3214" t="s">
        <v>826</v>
      </c>
      <c r="I3214" t="str">
        <f>"101050002005985"</f>
        <v>101050002005985</v>
      </c>
      <c r="J3214" t="str">
        <f t="shared" si="598"/>
        <v>31090</v>
      </c>
      <c r="K3214" t="s">
        <v>76</v>
      </c>
      <c r="L3214">
        <v>49</v>
      </c>
      <c r="M3214">
        <v>49</v>
      </c>
      <c r="N3214">
        <v>0</v>
      </c>
      <c r="O3214" s="1">
        <v>45581.538043981483</v>
      </c>
      <c r="P3214" t="s">
        <v>392</v>
      </c>
    </row>
    <row r="3215" spans="1:16" x14ac:dyDescent="0.3">
      <c r="A3215" t="s">
        <v>25</v>
      </c>
      <c r="B3215" s="1">
        <v>45581.538043981483</v>
      </c>
      <c r="C3215" t="str">
        <f t="shared" si="597"/>
        <v>41</v>
      </c>
      <c r="D3215" t="s">
        <v>120</v>
      </c>
      <c r="E3215" t="s">
        <v>116</v>
      </c>
      <c r="F3215" t="s">
        <v>117</v>
      </c>
      <c r="H3215" t="s">
        <v>826</v>
      </c>
      <c r="I3215" t="str">
        <f>"101050002005984"</f>
        <v>101050002005984</v>
      </c>
      <c r="J3215" t="str">
        <f t="shared" si="598"/>
        <v>31090</v>
      </c>
      <c r="K3215" t="s">
        <v>76</v>
      </c>
      <c r="L3215">
        <v>49</v>
      </c>
      <c r="M3215">
        <v>49</v>
      </c>
      <c r="N3215">
        <v>0</v>
      </c>
      <c r="O3215" s="1">
        <v>45581.538043981483</v>
      </c>
      <c r="P3215" t="s">
        <v>392</v>
      </c>
    </row>
    <row r="3216" spans="1:16" x14ac:dyDescent="0.3">
      <c r="A3216" t="s">
        <v>25</v>
      </c>
      <c r="B3216" s="1">
        <v>45581.538043981483</v>
      </c>
      <c r="C3216" t="str">
        <f t="shared" si="597"/>
        <v>41</v>
      </c>
      <c r="D3216" t="s">
        <v>120</v>
      </c>
      <c r="E3216" t="s">
        <v>116</v>
      </c>
      <c r="F3216" t="s">
        <v>117</v>
      </c>
      <c r="H3216" t="s">
        <v>826</v>
      </c>
      <c r="I3216" t="str">
        <f>"101050002005962"</f>
        <v>101050002005962</v>
      </c>
      <c r="J3216" t="str">
        <f t="shared" si="598"/>
        <v>31090</v>
      </c>
      <c r="K3216" t="s">
        <v>76</v>
      </c>
      <c r="L3216">
        <v>49</v>
      </c>
      <c r="M3216">
        <v>49</v>
      </c>
      <c r="N3216">
        <v>0</v>
      </c>
      <c r="O3216" s="1">
        <v>45581.538043981483</v>
      </c>
      <c r="P3216" t="s">
        <v>392</v>
      </c>
    </row>
    <row r="3217" spans="1:16" x14ac:dyDescent="0.3">
      <c r="A3217" t="s">
        <v>25</v>
      </c>
      <c r="B3217" s="1">
        <v>45581.538043981483</v>
      </c>
      <c r="C3217" t="str">
        <f t="shared" si="597"/>
        <v>41</v>
      </c>
      <c r="D3217" t="s">
        <v>120</v>
      </c>
      <c r="E3217" t="s">
        <v>116</v>
      </c>
      <c r="F3217" t="s">
        <v>117</v>
      </c>
      <c r="H3217" t="s">
        <v>826</v>
      </c>
      <c r="I3217" t="str">
        <f>"101050002005922"</f>
        <v>101050002005922</v>
      </c>
      <c r="J3217" t="str">
        <f t="shared" si="598"/>
        <v>31090</v>
      </c>
      <c r="K3217" t="s">
        <v>76</v>
      </c>
      <c r="L3217">
        <v>49</v>
      </c>
      <c r="M3217">
        <v>49</v>
      </c>
      <c r="N3217">
        <v>0</v>
      </c>
      <c r="O3217" s="1">
        <v>45581.538043981483</v>
      </c>
      <c r="P3217" t="s">
        <v>392</v>
      </c>
    </row>
    <row r="3218" spans="1:16" x14ac:dyDescent="0.3">
      <c r="A3218" t="s">
        <v>25</v>
      </c>
      <c r="B3218" s="1">
        <v>45581.507407407407</v>
      </c>
      <c r="C3218" t="str">
        <f>"38"</f>
        <v>38</v>
      </c>
      <c r="D3218" t="s">
        <v>115</v>
      </c>
      <c r="E3218" t="s">
        <v>116</v>
      </c>
      <c r="F3218" t="s">
        <v>117</v>
      </c>
      <c r="H3218" t="s">
        <v>827</v>
      </c>
      <c r="L3218">
        <v>0</v>
      </c>
      <c r="M3218">
        <v>0</v>
      </c>
      <c r="N3218">
        <v>0</v>
      </c>
      <c r="O3218" s="1">
        <v>45581.507407407407</v>
      </c>
      <c r="P3218" t="s">
        <v>138</v>
      </c>
    </row>
    <row r="3219" spans="1:16" x14ac:dyDescent="0.3">
      <c r="A3219" t="s">
        <v>25</v>
      </c>
      <c r="B3219" s="1">
        <v>45581.507407407407</v>
      </c>
      <c r="C3219" t="str">
        <f>"41"</f>
        <v>41</v>
      </c>
      <c r="D3219" t="s">
        <v>120</v>
      </c>
      <c r="E3219" t="s">
        <v>116</v>
      </c>
      <c r="F3219" t="s">
        <v>117</v>
      </c>
      <c r="H3219" t="s">
        <v>827</v>
      </c>
      <c r="I3219" t="str">
        <f>"101050002003396"</f>
        <v>101050002003396</v>
      </c>
      <c r="J3219" t="str">
        <f>"514475"</f>
        <v>514475</v>
      </c>
      <c r="K3219" t="s">
        <v>23</v>
      </c>
      <c r="L3219">
        <v>49</v>
      </c>
      <c r="M3219">
        <v>49</v>
      </c>
      <c r="N3219">
        <v>0</v>
      </c>
      <c r="O3219" s="1">
        <v>45581.507407407407</v>
      </c>
      <c r="P3219" t="s">
        <v>138</v>
      </c>
    </row>
    <row r="3220" spans="1:16" x14ac:dyDescent="0.3">
      <c r="A3220" t="s">
        <v>25</v>
      </c>
      <c r="B3220" s="1">
        <v>45581.507407407407</v>
      </c>
      <c r="C3220" t="str">
        <f>"41"</f>
        <v>41</v>
      </c>
      <c r="D3220" t="s">
        <v>120</v>
      </c>
      <c r="E3220" t="s">
        <v>116</v>
      </c>
      <c r="F3220" t="s">
        <v>117</v>
      </c>
      <c r="H3220" t="s">
        <v>827</v>
      </c>
      <c r="I3220" t="str">
        <f>"101050002003291"</f>
        <v>101050002003291</v>
      </c>
      <c r="J3220" t="str">
        <f>"514475"</f>
        <v>514475</v>
      </c>
      <c r="K3220" t="s">
        <v>23</v>
      </c>
      <c r="L3220">
        <v>49</v>
      </c>
      <c r="M3220">
        <v>49</v>
      </c>
      <c r="N3220">
        <v>0</v>
      </c>
      <c r="O3220" s="1">
        <v>45581.507407407407</v>
      </c>
      <c r="P3220" t="s">
        <v>138</v>
      </c>
    </row>
    <row r="3221" spans="1:16" x14ac:dyDescent="0.3">
      <c r="A3221" t="s">
        <v>25</v>
      </c>
      <c r="B3221" s="1">
        <v>45581.507407407407</v>
      </c>
      <c r="C3221" t="str">
        <f>"41"</f>
        <v>41</v>
      </c>
      <c r="D3221" t="s">
        <v>120</v>
      </c>
      <c r="E3221" t="s">
        <v>116</v>
      </c>
      <c r="F3221" t="s">
        <v>117</v>
      </c>
      <c r="H3221" t="s">
        <v>827</v>
      </c>
      <c r="I3221" t="str">
        <f>"101050001975031"</f>
        <v>101050001975031</v>
      </c>
      <c r="J3221" t="str">
        <f>"514475"</f>
        <v>514475</v>
      </c>
      <c r="K3221" t="s">
        <v>23</v>
      </c>
      <c r="L3221">
        <v>49</v>
      </c>
      <c r="M3221">
        <v>49</v>
      </c>
      <c r="N3221">
        <v>0</v>
      </c>
      <c r="O3221" s="1">
        <v>45581.507407407407</v>
      </c>
      <c r="P3221" t="s">
        <v>138</v>
      </c>
    </row>
    <row r="3222" spans="1:16" x14ac:dyDescent="0.3">
      <c r="A3222" t="s">
        <v>25</v>
      </c>
      <c r="B3222" s="1">
        <v>45581.507395833331</v>
      </c>
      <c r="C3222" t="str">
        <f>"41"</f>
        <v>41</v>
      </c>
      <c r="D3222" t="s">
        <v>120</v>
      </c>
      <c r="E3222" t="s">
        <v>116</v>
      </c>
      <c r="F3222" t="s">
        <v>117</v>
      </c>
      <c r="H3222" t="s">
        <v>827</v>
      </c>
      <c r="I3222" t="str">
        <f>"101050001974769"</f>
        <v>101050001974769</v>
      </c>
      <c r="J3222" t="str">
        <f>"514475"</f>
        <v>514475</v>
      </c>
      <c r="K3222" t="s">
        <v>23</v>
      </c>
      <c r="L3222">
        <v>49</v>
      </c>
      <c r="M3222">
        <v>49</v>
      </c>
      <c r="N3222">
        <v>0</v>
      </c>
      <c r="O3222" s="1">
        <v>45581.507395833331</v>
      </c>
      <c r="P3222" t="s">
        <v>138</v>
      </c>
    </row>
    <row r="3223" spans="1:16" x14ac:dyDescent="0.3">
      <c r="A3223" t="s">
        <v>25</v>
      </c>
      <c r="B3223" s="1">
        <v>45581.506886574076</v>
      </c>
      <c r="C3223" t="str">
        <f>"38"</f>
        <v>38</v>
      </c>
      <c r="D3223" t="s">
        <v>115</v>
      </c>
      <c r="E3223" t="s">
        <v>116</v>
      </c>
      <c r="F3223" t="s">
        <v>117</v>
      </c>
      <c r="H3223" t="s">
        <v>828</v>
      </c>
      <c r="L3223">
        <v>0</v>
      </c>
      <c r="M3223">
        <v>0</v>
      </c>
      <c r="N3223">
        <v>0</v>
      </c>
      <c r="O3223" s="1">
        <v>45581.506886574076</v>
      </c>
      <c r="P3223" t="s">
        <v>138</v>
      </c>
    </row>
    <row r="3224" spans="1:16" x14ac:dyDescent="0.3">
      <c r="A3224" t="s">
        <v>25</v>
      </c>
      <c r="B3224" s="1">
        <v>45581.506886574076</v>
      </c>
      <c r="C3224" t="str">
        <f t="shared" ref="C3224:C3230" si="599">"41"</f>
        <v>41</v>
      </c>
      <c r="D3224" t="s">
        <v>120</v>
      </c>
      <c r="E3224" t="s">
        <v>116</v>
      </c>
      <c r="F3224" t="s">
        <v>117</v>
      </c>
      <c r="H3224" t="s">
        <v>828</v>
      </c>
      <c r="I3224" t="str">
        <f>"101050002017347"</f>
        <v>101050002017347</v>
      </c>
      <c r="J3224" t="str">
        <f t="shared" ref="J3224:J3230" si="600">"127924"</f>
        <v>127924</v>
      </c>
      <c r="K3224" t="s">
        <v>3</v>
      </c>
      <c r="L3224">
        <v>49</v>
      </c>
      <c r="M3224">
        <v>49</v>
      </c>
      <c r="N3224">
        <v>0</v>
      </c>
      <c r="O3224" s="1">
        <v>45581.506886574076</v>
      </c>
      <c r="P3224" t="s">
        <v>138</v>
      </c>
    </row>
    <row r="3225" spans="1:16" x14ac:dyDescent="0.3">
      <c r="A3225" t="s">
        <v>25</v>
      </c>
      <c r="B3225" s="1">
        <v>45581.506886574076</v>
      </c>
      <c r="C3225" t="str">
        <f t="shared" si="599"/>
        <v>41</v>
      </c>
      <c r="D3225" t="s">
        <v>120</v>
      </c>
      <c r="E3225" t="s">
        <v>116</v>
      </c>
      <c r="F3225" t="s">
        <v>117</v>
      </c>
      <c r="H3225" t="s">
        <v>828</v>
      </c>
      <c r="I3225" t="str">
        <f>"101050002023109"</f>
        <v>101050002023109</v>
      </c>
      <c r="J3225" t="str">
        <f t="shared" si="600"/>
        <v>127924</v>
      </c>
      <c r="K3225" t="s">
        <v>3</v>
      </c>
      <c r="L3225">
        <v>49</v>
      </c>
      <c r="M3225">
        <v>49</v>
      </c>
      <c r="N3225">
        <v>0</v>
      </c>
      <c r="O3225" s="1">
        <v>45581.506886574076</v>
      </c>
      <c r="P3225" t="s">
        <v>138</v>
      </c>
    </row>
    <row r="3226" spans="1:16" x14ac:dyDescent="0.3">
      <c r="A3226" t="s">
        <v>25</v>
      </c>
      <c r="B3226" s="1">
        <v>45581.506886574076</v>
      </c>
      <c r="C3226" t="str">
        <f t="shared" si="599"/>
        <v>41</v>
      </c>
      <c r="D3226" t="s">
        <v>120</v>
      </c>
      <c r="E3226" t="s">
        <v>116</v>
      </c>
      <c r="F3226" t="s">
        <v>117</v>
      </c>
      <c r="H3226" t="s">
        <v>828</v>
      </c>
      <c r="I3226" t="str">
        <f>"101050002022972"</f>
        <v>101050002022972</v>
      </c>
      <c r="J3226" t="str">
        <f t="shared" si="600"/>
        <v>127924</v>
      </c>
      <c r="K3226" t="s">
        <v>3</v>
      </c>
      <c r="L3226">
        <v>49</v>
      </c>
      <c r="M3226">
        <v>49</v>
      </c>
      <c r="N3226">
        <v>0</v>
      </c>
      <c r="O3226" s="1">
        <v>45581.506886574076</v>
      </c>
      <c r="P3226" t="s">
        <v>138</v>
      </c>
    </row>
    <row r="3227" spans="1:16" x14ac:dyDescent="0.3">
      <c r="A3227" t="s">
        <v>25</v>
      </c>
      <c r="B3227" s="1">
        <v>45581.506874999999</v>
      </c>
      <c r="C3227" t="str">
        <f t="shared" si="599"/>
        <v>41</v>
      </c>
      <c r="D3227" t="s">
        <v>120</v>
      </c>
      <c r="E3227" t="s">
        <v>116</v>
      </c>
      <c r="F3227" t="s">
        <v>117</v>
      </c>
      <c r="H3227" t="s">
        <v>828</v>
      </c>
      <c r="I3227" t="str">
        <f>"101050002021698"</f>
        <v>101050002021698</v>
      </c>
      <c r="J3227" t="str">
        <f t="shared" si="600"/>
        <v>127924</v>
      </c>
      <c r="K3227" t="s">
        <v>3</v>
      </c>
      <c r="L3227">
        <v>49</v>
      </c>
      <c r="M3227">
        <v>49</v>
      </c>
      <c r="N3227">
        <v>0</v>
      </c>
      <c r="O3227" s="1">
        <v>45581.506874999999</v>
      </c>
      <c r="P3227" t="s">
        <v>138</v>
      </c>
    </row>
    <row r="3228" spans="1:16" x14ac:dyDescent="0.3">
      <c r="A3228" t="s">
        <v>25</v>
      </c>
      <c r="B3228" s="1">
        <v>45581.506874999999</v>
      </c>
      <c r="C3228" t="str">
        <f t="shared" si="599"/>
        <v>41</v>
      </c>
      <c r="D3228" t="s">
        <v>120</v>
      </c>
      <c r="E3228" t="s">
        <v>116</v>
      </c>
      <c r="F3228" t="s">
        <v>117</v>
      </c>
      <c r="H3228" t="s">
        <v>828</v>
      </c>
      <c r="I3228" t="str">
        <f>"101050002023058"</f>
        <v>101050002023058</v>
      </c>
      <c r="J3228" t="str">
        <f t="shared" si="600"/>
        <v>127924</v>
      </c>
      <c r="K3228" t="s">
        <v>3</v>
      </c>
      <c r="L3228">
        <v>49</v>
      </c>
      <c r="M3228">
        <v>49</v>
      </c>
      <c r="N3228">
        <v>0</v>
      </c>
      <c r="O3228" s="1">
        <v>45581.506874999999</v>
      </c>
      <c r="P3228" t="s">
        <v>138</v>
      </c>
    </row>
    <row r="3229" spans="1:16" x14ac:dyDescent="0.3">
      <c r="A3229" t="s">
        <v>25</v>
      </c>
      <c r="B3229" s="1">
        <v>45581.506874999999</v>
      </c>
      <c r="C3229" t="str">
        <f t="shared" si="599"/>
        <v>41</v>
      </c>
      <c r="D3229" t="s">
        <v>120</v>
      </c>
      <c r="E3229" t="s">
        <v>116</v>
      </c>
      <c r="F3229" t="s">
        <v>117</v>
      </c>
      <c r="H3229" t="s">
        <v>828</v>
      </c>
      <c r="I3229" t="str">
        <f>"101050002022587"</f>
        <v>101050002022587</v>
      </c>
      <c r="J3229" t="str">
        <f t="shared" si="600"/>
        <v>127924</v>
      </c>
      <c r="K3229" t="s">
        <v>3</v>
      </c>
      <c r="L3229">
        <v>49</v>
      </c>
      <c r="M3229">
        <v>49</v>
      </c>
      <c r="N3229">
        <v>0</v>
      </c>
      <c r="O3229" s="1">
        <v>45581.506874999999</v>
      </c>
      <c r="P3229" t="s">
        <v>138</v>
      </c>
    </row>
    <row r="3230" spans="1:16" x14ac:dyDescent="0.3">
      <c r="A3230" t="s">
        <v>25</v>
      </c>
      <c r="B3230" s="1">
        <v>45581.506874999999</v>
      </c>
      <c r="C3230" t="str">
        <f t="shared" si="599"/>
        <v>41</v>
      </c>
      <c r="D3230" t="s">
        <v>120</v>
      </c>
      <c r="E3230" t="s">
        <v>116</v>
      </c>
      <c r="F3230" t="s">
        <v>117</v>
      </c>
      <c r="H3230" t="s">
        <v>828</v>
      </c>
      <c r="I3230" t="str">
        <f>"101050002015195"</f>
        <v>101050002015195</v>
      </c>
      <c r="J3230" t="str">
        <f t="shared" si="600"/>
        <v>127924</v>
      </c>
      <c r="K3230" t="s">
        <v>3</v>
      </c>
      <c r="L3230">
        <v>49</v>
      </c>
      <c r="M3230">
        <v>49</v>
      </c>
      <c r="N3230">
        <v>0</v>
      </c>
      <c r="O3230" s="1">
        <v>45581.506874999999</v>
      </c>
      <c r="P3230" t="s">
        <v>138</v>
      </c>
    </row>
    <row r="3231" spans="1:16" x14ac:dyDescent="0.3">
      <c r="A3231" t="s">
        <v>25</v>
      </c>
      <c r="B3231" s="1">
        <v>45581.506354166668</v>
      </c>
      <c r="C3231" t="str">
        <f>"38"</f>
        <v>38</v>
      </c>
      <c r="D3231" t="s">
        <v>115</v>
      </c>
      <c r="E3231" t="s">
        <v>116</v>
      </c>
      <c r="F3231" t="s">
        <v>117</v>
      </c>
      <c r="H3231" t="s">
        <v>829</v>
      </c>
      <c r="L3231">
        <v>0</v>
      </c>
      <c r="M3231">
        <v>0</v>
      </c>
      <c r="N3231">
        <v>0</v>
      </c>
      <c r="O3231" s="1">
        <v>45581.506354166668</v>
      </c>
      <c r="P3231" t="s">
        <v>119</v>
      </c>
    </row>
    <row r="3232" spans="1:16" x14ac:dyDescent="0.3">
      <c r="A3232" t="s">
        <v>25</v>
      </c>
      <c r="B3232" s="1">
        <v>45581.506354166668</v>
      </c>
      <c r="C3232" t="str">
        <f t="shared" ref="C3232:C3238" si="601">"41"</f>
        <v>41</v>
      </c>
      <c r="D3232" t="s">
        <v>120</v>
      </c>
      <c r="E3232" t="s">
        <v>116</v>
      </c>
      <c r="F3232" t="s">
        <v>117</v>
      </c>
      <c r="H3232" t="s">
        <v>829</v>
      </c>
      <c r="I3232" t="str">
        <f>"101050002019869"</f>
        <v>101050002019869</v>
      </c>
      <c r="J3232" t="str">
        <f t="shared" ref="J3232:J3238" si="602">"514719"</f>
        <v>514719</v>
      </c>
      <c r="K3232" t="s">
        <v>0</v>
      </c>
      <c r="L3232">
        <v>49</v>
      </c>
      <c r="M3232">
        <v>49</v>
      </c>
      <c r="N3232">
        <v>0</v>
      </c>
      <c r="O3232" s="1">
        <v>45581.506354166668</v>
      </c>
      <c r="P3232" t="s">
        <v>119</v>
      </c>
    </row>
    <row r="3233" spans="1:16" x14ac:dyDescent="0.3">
      <c r="A3233" t="s">
        <v>25</v>
      </c>
      <c r="B3233" s="1">
        <v>45581.506342592591</v>
      </c>
      <c r="C3233" t="str">
        <f t="shared" si="601"/>
        <v>41</v>
      </c>
      <c r="D3233" t="s">
        <v>120</v>
      </c>
      <c r="E3233" t="s">
        <v>116</v>
      </c>
      <c r="F3233" t="s">
        <v>117</v>
      </c>
      <c r="H3233" t="s">
        <v>829</v>
      </c>
      <c r="I3233" t="str">
        <f>"101050002016517"</f>
        <v>101050002016517</v>
      </c>
      <c r="J3233" t="str">
        <f t="shared" si="602"/>
        <v>514719</v>
      </c>
      <c r="K3233" t="s">
        <v>0</v>
      </c>
      <c r="L3233">
        <v>49</v>
      </c>
      <c r="M3233">
        <v>49</v>
      </c>
      <c r="N3233">
        <v>0</v>
      </c>
      <c r="O3233" s="1">
        <v>45581.506342592591</v>
      </c>
      <c r="P3233" t="s">
        <v>119</v>
      </c>
    </row>
    <row r="3234" spans="1:16" x14ac:dyDescent="0.3">
      <c r="A3234" t="s">
        <v>25</v>
      </c>
      <c r="B3234" s="1">
        <v>45581.506342592591</v>
      </c>
      <c r="C3234" t="str">
        <f t="shared" si="601"/>
        <v>41</v>
      </c>
      <c r="D3234" t="s">
        <v>120</v>
      </c>
      <c r="E3234" t="s">
        <v>116</v>
      </c>
      <c r="F3234" t="s">
        <v>117</v>
      </c>
      <c r="H3234" t="s">
        <v>829</v>
      </c>
      <c r="I3234" t="str">
        <f>"101050002019970"</f>
        <v>101050002019970</v>
      </c>
      <c r="J3234" t="str">
        <f t="shared" si="602"/>
        <v>514719</v>
      </c>
      <c r="K3234" t="s">
        <v>0</v>
      </c>
      <c r="L3234">
        <v>49</v>
      </c>
      <c r="M3234">
        <v>49</v>
      </c>
      <c r="N3234">
        <v>0</v>
      </c>
      <c r="O3234" s="1">
        <v>45581.506342592591</v>
      </c>
      <c r="P3234" t="s">
        <v>119</v>
      </c>
    </row>
    <row r="3235" spans="1:16" x14ac:dyDescent="0.3">
      <c r="A3235" t="s">
        <v>25</v>
      </c>
      <c r="B3235" s="1">
        <v>45581.506342592591</v>
      </c>
      <c r="C3235" t="str">
        <f t="shared" si="601"/>
        <v>41</v>
      </c>
      <c r="D3235" t="s">
        <v>120</v>
      </c>
      <c r="E3235" t="s">
        <v>116</v>
      </c>
      <c r="F3235" t="s">
        <v>117</v>
      </c>
      <c r="H3235" t="s">
        <v>829</v>
      </c>
      <c r="I3235" t="str">
        <f>"101050002020198"</f>
        <v>101050002020198</v>
      </c>
      <c r="J3235" t="str">
        <f t="shared" si="602"/>
        <v>514719</v>
      </c>
      <c r="K3235" t="s">
        <v>0</v>
      </c>
      <c r="L3235">
        <v>49</v>
      </c>
      <c r="M3235">
        <v>49</v>
      </c>
      <c r="N3235">
        <v>0</v>
      </c>
      <c r="O3235" s="1">
        <v>45581.506342592591</v>
      </c>
      <c r="P3235" t="s">
        <v>119</v>
      </c>
    </row>
    <row r="3236" spans="1:16" x14ac:dyDescent="0.3">
      <c r="A3236" t="s">
        <v>25</v>
      </c>
      <c r="B3236" s="1">
        <v>45581.506342592591</v>
      </c>
      <c r="C3236" t="str">
        <f t="shared" si="601"/>
        <v>41</v>
      </c>
      <c r="D3236" t="s">
        <v>120</v>
      </c>
      <c r="E3236" t="s">
        <v>116</v>
      </c>
      <c r="F3236" t="s">
        <v>117</v>
      </c>
      <c r="H3236" t="s">
        <v>829</v>
      </c>
      <c r="I3236" t="str">
        <f>"101050002019973"</f>
        <v>101050002019973</v>
      </c>
      <c r="J3236" t="str">
        <f t="shared" si="602"/>
        <v>514719</v>
      </c>
      <c r="K3236" t="s">
        <v>0</v>
      </c>
      <c r="L3236">
        <v>49</v>
      </c>
      <c r="M3236">
        <v>49</v>
      </c>
      <c r="N3236">
        <v>0</v>
      </c>
      <c r="O3236" s="1">
        <v>45581.506342592591</v>
      </c>
      <c r="P3236" t="s">
        <v>119</v>
      </c>
    </row>
    <row r="3237" spans="1:16" x14ac:dyDescent="0.3">
      <c r="A3237" t="s">
        <v>25</v>
      </c>
      <c r="B3237" s="1">
        <v>45581.506342592591</v>
      </c>
      <c r="C3237" t="str">
        <f t="shared" si="601"/>
        <v>41</v>
      </c>
      <c r="D3237" t="s">
        <v>120</v>
      </c>
      <c r="E3237" t="s">
        <v>116</v>
      </c>
      <c r="F3237" t="s">
        <v>117</v>
      </c>
      <c r="H3237" t="s">
        <v>829</v>
      </c>
      <c r="I3237" t="str">
        <f>"101050002019972"</f>
        <v>101050002019972</v>
      </c>
      <c r="J3237" t="str">
        <f t="shared" si="602"/>
        <v>514719</v>
      </c>
      <c r="K3237" t="s">
        <v>0</v>
      </c>
      <c r="L3237">
        <v>49</v>
      </c>
      <c r="M3237">
        <v>49</v>
      </c>
      <c r="N3237">
        <v>0</v>
      </c>
      <c r="O3237" s="1">
        <v>45581.506342592591</v>
      </c>
      <c r="P3237" t="s">
        <v>119</v>
      </c>
    </row>
    <row r="3238" spans="1:16" x14ac:dyDescent="0.3">
      <c r="A3238" t="s">
        <v>25</v>
      </c>
      <c r="B3238" s="1">
        <v>45581.506342592591</v>
      </c>
      <c r="C3238" t="str">
        <f t="shared" si="601"/>
        <v>41</v>
      </c>
      <c r="D3238" t="s">
        <v>120</v>
      </c>
      <c r="E3238" t="s">
        <v>116</v>
      </c>
      <c r="F3238" t="s">
        <v>117</v>
      </c>
      <c r="H3238" t="s">
        <v>829</v>
      </c>
      <c r="I3238" t="str">
        <f>"101050002019850"</f>
        <v>101050002019850</v>
      </c>
      <c r="J3238" t="str">
        <f t="shared" si="602"/>
        <v>514719</v>
      </c>
      <c r="K3238" t="s">
        <v>0</v>
      </c>
      <c r="L3238">
        <v>49</v>
      </c>
      <c r="M3238">
        <v>49</v>
      </c>
      <c r="N3238">
        <v>0</v>
      </c>
      <c r="O3238" s="1">
        <v>45581.506342592591</v>
      </c>
      <c r="P3238" t="s">
        <v>119</v>
      </c>
    </row>
    <row r="3239" spans="1:16" x14ac:dyDescent="0.3">
      <c r="A3239" t="s">
        <v>25</v>
      </c>
      <c r="B3239" s="1">
        <v>45581.505162037036</v>
      </c>
      <c r="C3239" t="str">
        <f>"38"</f>
        <v>38</v>
      </c>
      <c r="D3239" t="s">
        <v>115</v>
      </c>
      <c r="E3239" t="s">
        <v>116</v>
      </c>
      <c r="F3239" t="s">
        <v>117</v>
      </c>
      <c r="H3239" t="s">
        <v>830</v>
      </c>
      <c r="L3239">
        <v>0</v>
      </c>
      <c r="M3239">
        <v>0</v>
      </c>
      <c r="N3239">
        <v>0</v>
      </c>
      <c r="O3239" s="1">
        <v>45581.505162037036</v>
      </c>
      <c r="P3239" t="s">
        <v>119</v>
      </c>
    </row>
    <row r="3240" spans="1:16" x14ac:dyDescent="0.3">
      <c r="A3240" t="s">
        <v>25</v>
      </c>
      <c r="B3240" s="1">
        <v>45581.505347222221</v>
      </c>
      <c r="C3240" t="str">
        <f>"38"</f>
        <v>38</v>
      </c>
      <c r="D3240" t="s">
        <v>115</v>
      </c>
      <c r="E3240" t="s">
        <v>116</v>
      </c>
      <c r="F3240" t="s">
        <v>117</v>
      </c>
      <c r="H3240" t="s">
        <v>831</v>
      </c>
      <c r="L3240">
        <v>0</v>
      </c>
      <c r="M3240">
        <v>0</v>
      </c>
      <c r="N3240">
        <v>0</v>
      </c>
      <c r="O3240" s="1">
        <v>45581.505347222221</v>
      </c>
      <c r="P3240" t="s">
        <v>138</v>
      </c>
    </row>
    <row r="3241" spans="1:16" x14ac:dyDescent="0.3">
      <c r="A3241" t="s">
        <v>25</v>
      </c>
      <c r="B3241" s="1">
        <v>45581.505347222221</v>
      </c>
      <c r="C3241" t="str">
        <f>"41"</f>
        <v>41</v>
      </c>
      <c r="D3241" t="s">
        <v>120</v>
      </c>
      <c r="E3241" t="s">
        <v>116</v>
      </c>
      <c r="F3241" t="s">
        <v>117</v>
      </c>
      <c r="H3241" t="s">
        <v>831</v>
      </c>
      <c r="I3241" t="str">
        <f>"101050002020849"</f>
        <v>101050002020849</v>
      </c>
      <c r="J3241" t="str">
        <f>"515120"</f>
        <v>515120</v>
      </c>
      <c r="K3241" t="s">
        <v>2</v>
      </c>
      <c r="L3241">
        <v>49</v>
      </c>
      <c r="M3241">
        <v>49</v>
      </c>
      <c r="N3241">
        <v>0</v>
      </c>
      <c r="O3241" s="1">
        <v>45581.505347222221</v>
      </c>
      <c r="P3241" t="s">
        <v>138</v>
      </c>
    </row>
    <row r="3242" spans="1:16" x14ac:dyDescent="0.3">
      <c r="A3242" t="s">
        <v>25</v>
      </c>
      <c r="B3242" s="1">
        <v>45581.505104166667</v>
      </c>
      <c r="C3242" t="str">
        <f>"38"</f>
        <v>38</v>
      </c>
      <c r="D3242" t="s">
        <v>115</v>
      </c>
      <c r="E3242" t="s">
        <v>116</v>
      </c>
      <c r="F3242" t="s">
        <v>117</v>
      </c>
      <c r="H3242" t="s">
        <v>832</v>
      </c>
      <c r="L3242">
        <v>0</v>
      </c>
      <c r="M3242">
        <v>0</v>
      </c>
      <c r="N3242">
        <v>0</v>
      </c>
      <c r="O3242" s="1">
        <v>45581.505104166667</v>
      </c>
      <c r="P3242" t="s">
        <v>119</v>
      </c>
    </row>
    <row r="3243" spans="1:16" x14ac:dyDescent="0.3">
      <c r="A3243" t="s">
        <v>25</v>
      </c>
      <c r="B3243" s="1">
        <v>45581.505069444444</v>
      </c>
      <c r="C3243" t="str">
        <f>"38"</f>
        <v>38</v>
      </c>
      <c r="D3243" t="s">
        <v>115</v>
      </c>
      <c r="E3243" t="s">
        <v>116</v>
      </c>
      <c r="F3243" t="s">
        <v>117</v>
      </c>
      <c r="H3243" t="s">
        <v>833</v>
      </c>
      <c r="L3243">
        <v>0</v>
      </c>
      <c r="M3243">
        <v>0</v>
      </c>
      <c r="N3243">
        <v>0</v>
      </c>
      <c r="O3243" s="1">
        <v>45581.505069444444</v>
      </c>
      <c r="P3243" t="s">
        <v>122</v>
      </c>
    </row>
    <row r="3244" spans="1:16" x14ac:dyDescent="0.3">
      <c r="A3244" t="s">
        <v>25</v>
      </c>
      <c r="B3244" s="1">
        <v>45581.504988425928</v>
      </c>
      <c r="C3244" t="str">
        <f>"38"</f>
        <v>38</v>
      </c>
      <c r="D3244" t="s">
        <v>115</v>
      </c>
      <c r="E3244" t="s">
        <v>116</v>
      </c>
      <c r="F3244" t="s">
        <v>117</v>
      </c>
      <c r="H3244" t="s">
        <v>834</v>
      </c>
      <c r="L3244">
        <v>0</v>
      </c>
      <c r="M3244">
        <v>0</v>
      </c>
      <c r="N3244">
        <v>0</v>
      </c>
      <c r="O3244" s="1">
        <v>45581.504988425928</v>
      </c>
      <c r="P3244" t="s">
        <v>122</v>
      </c>
    </row>
    <row r="3245" spans="1:16" x14ac:dyDescent="0.3">
      <c r="A3245" t="s">
        <v>25</v>
      </c>
      <c r="B3245" s="1">
        <v>45581.504918981482</v>
      </c>
      <c r="C3245" t="str">
        <f>"38"</f>
        <v>38</v>
      </c>
      <c r="D3245" t="s">
        <v>115</v>
      </c>
      <c r="E3245" t="s">
        <v>116</v>
      </c>
      <c r="F3245" t="s">
        <v>117</v>
      </c>
      <c r="H3245" t="s">
        <v>835</v>
      </c>
      <c r="L3245">
        <v>0</v>
      </c>
      <c r="M3245">
        <v>0</v>
      </c>
      <c r="N3245">
        <v>0</v>
      </c>
      <c r="O3245" s="1">
        <v>45581.504918981482</v>
      </c>
      <c r="P3245" t="s">
        <v>122</v>
      </c>
    </row>
    <row r="3246" spans="1:16" x14ac:dyDescent="0.3">
      <c r="A3246" t="s">
        <v>25</v>
      </c>
      <c r="B3246" s="1">
        <v>45581.504918981482</v>
      </c>
      <c r="C3246" t="str">
        <f t="shared" ref="C3246:C3252" si="603">"41"</f>
        <v>41</v>
      </c>
      <c r="D3246" t="s">
        <v>120</v>
      </c>
      <c r="E3246" t="s">
        <v>116</v>
      </c>
      <c r="F3246" t="s">
        <v>117</v>
      </c>
      <c r="H3246" t="s">
        <v>835</v>
      </c>
      <c r="I3246" t="str">
        <f>"101050002006375"</f>
        <v>101050002006375</v>
      </c>
      <c r="J3246" t="str">
        <f t="shared" ref="J3246:J3252" si="604">"31090"</f>
        <v>31090</v>
      </c>
      <c r="K3246" t="s">
        <v>76</v>
      </c>
      <c r="L3246">
        <v>49</v>
      </c>
      <c r="M3246">
        <v>49</v>
      </c>
      <c r="N3246">
        <v>0</v>
      </c>
      <c r="O3246" s="1">
        <v>45581.504918981482</v>
      </c>
      <c r="P3246" t="s">
        <v>122</v>
      </c>
    </row>
    <row r="3247" spans="1:16" x14ac:dyDescent="0.3">
      <c r="A3247" t="s">
        <v>25</v>
      </c>
      <c r="B3247" s="1">
        <v>45581.504907407405</v>
      </c>
      <c r="C3247" t="str">
        <f t="shared" si="603"/>
        <v>41</v>
      </c>
      <c r="D3247" t="s">
        <v>120</v>
      </c>
      <c r="E3247" t="s">
        <v>116</v>
      </c>
      <c r="F3247" t="s">
        <v>117</v>
      </c>
      <c r="H3247" t="s">
        <v>835</v>
      </c>
      <c r="I3247" t="str">
        <f>"101050002006881"</f>
        <v>101050002006881</v>
      </c>
      <c r="J3247" t="str">
        <f t="shared" si="604"/>
        <v>31090</v>
      </c>
      <c r="K3247" t="s">
        <v>76</v>
      </c>
      <c r="L3247">
        <v>49</v>
      </c>
      <c r="M3247">
        <v>49</v>
      </c>
      <c r="N3247">
        <v>0</v>
      </c>
      <c r="O3247" s="1">
        <v>45581.504907407405</v>
      </c>
      <c r="P3247" t="s">
        <v>122</v>
      </c>
    </row>
    <row r="3248" spans="1:16" x14ac:dyDescent="0.3">
      <c r="A3248" t="s">
        <v>25</v>
      </c>
      <c r="B3248" s="1">
        <v>45581.504907407405</v>
      </c>
      <c r="C3248" t="str">
        <f t="shared" si="603"/>
        <v>41</v>
      </c>
      <c r="D3248" t="s">
        <v>120</v>
      </c>
      <c r="E3248" t="s">
        <v>116</v>
      </c>
      <c r="F3248" t="s">
        <v>117</v>
      </c>
      <c r="H3248" t="s">
        <v>835</v>
      </c>
      <c r="I3248" t="str">
        <f>"101050002006816"</f>
        <v>101050002006816</v>
      </c>
      <c r="J3248" t="str">
        <f t="shared" si="604"/>
        <v>31090</v>
      </c>
      <c r="K3248" t="s">
        <v>76</v>
      </c>
      <c r="L3248">
        <v>49</v>
      </c>
      <c r="M3248">
        <v>49</v>
      </c>
      <c r="N3248">
        <v>0</v>
      </c>
      <c r="O3248" s="1">
        <v>45581.504907407405</v>
      </c>
      <c r="P3248" t="s">
        <v>122</v>
      </c>
    </row>
    <row r="3249" spans="1:16" x14ac:dyDescent="0.3">
      <c r="A3249" t="s">
        <v>25</v>
      </c>
      <c r="B3249" s="1">
        <v>45581.504907407405</v>
      </c>
      <c r="C3249" t="str">
        <f t="shared" si="603"/>
        <v>41</v>
      </c>
      <c r="D3249" t="s">
        <v>120</v>
      </c>
      <c r="E3249" t="s">
        <v>116</v>
      </c>
      <c r="F3249" t="s">
        <v>117</v>
      </c>
      <c r="H3249" t="s">
        <v>835</v>
      </c>
      <c r="I3249" t="str">
        <f>"101050002006374"</f>
        <v>101050002006374</v>
      </c>
      <c r="J3249" t="str">
        <f t="shared" si="604"/>
        <v>31090</v>
      </c>
      <c r="K3249" t="s">
        <v>76</v>
      </c>
      <c r="L3249">
        <v>49</v>
      </c>
      <c r="M3249">
        <v>49</v>
      </c>
      <c r="N3249">
        <v>0</v>
      </c>
      <c r="O3249" s="1">
        <v>45581.504907407405</v>
      </c>
      <c r="P3249" t="s">
        <v>122</v>
      </c>
    </row>
    <row r="3250" spans="1:16" x14ac:dyDescent="0.3">
      <c r="A3250" t="s">
        <v>25</v>
      </c>
      <c r="B3250" s="1">
        <v>45581.504907407405</v>
      </c>
      <c r="C3250" t="str">
        <f t="shared" si="603"/>
        <v>41</v>
      </c>
      <c r="D3250" t="s">
        <v>120</v>
      </c>
      <c r="E3250" t="s">
        <v>116</v>
      </c>
      <c r="F3250" t="s">
        <v>117</v>
      </c>
      <c r="H3250" t="s">
        <v>835</v>
      </c>
      <c r="I3250" t="str">
        <f>"101050002006043"</f>
        <v>101050002006043</v>
      </c>
      <c r="J3250" t="str">
        <f t="shared" si="604"/>
        <v>31090</v>
      </c>
      <c r="K3250" t="s">
        <v>76</v>
      </c>
      <c r="L3250">
        <v>49</v>
      </c>
      <c r="M3250">
        <v>49</v>
      </c>
      <c r="N3250">
        <v>0</v>
      </c>
      <c r="O3250" s="1">
        <v>45581.504907407405</v>
      </c>
      <c r="P3250" t="s">
        <v>122</v>
      </c>
    </row>
    <row r="3251" spans="1:16" x14ac:dyDescent="0.3">
      <c r="A3251" t="s">
        <v>25</v>
      </c>
      <c r="B3251" s="1">
        <v>45581.504907407405</v>
      </c>
      <c r="C3251" t="str">
        <f t="shared" si="603"/>
        <v>41</v>
      </c>
      <c r="D3251" t="s">
        <v>120</v>
      </c>
      <c r="E3251" t="s">
        <v>116</v>
      </c>
      <c r="F3251" t="s">
        <v>117</v>
      </c>
      <c r="H3251" t="s">
        <v>835</v>
      </c>
      <c r="I3251" t="str">
        <f>"101050002006817"</f>
        <v>101050002006817</v>
      </c>
      <c r="J3251" t="str">
        <f t="shared" si="604"/>
        <v>31090</v>
      </c>
      <c r="K3251" t="s">
        <v>76</v>
      </c>
      <c r="L3251">
        <v>49</v>
      </c>
      <c r="M3251">
        <v>49</v>
      </c>
      <c r="N3251">
        <v>0</v>
      </c>
      <c r="O3251" s="1">
        <v>45581.504907407405</v>
      </c>
      <c r="P3251" t="s">
        <v>122</v>
      </c>
    </row>
    <row r="3252" spans="1:16" x14ac:dyDescent="0.3">
      <c r="A3252" t="s">
        <v>25</v>
      </c>
      <c r="B3252" s="1">
        <v>45581.504907407405</v>
      </c>
      <c r="C3252" t="str">
        <f t="shared" si="603"/>
        <v>41</v>
      </c>
      <c r="D3252" t="s">
        <v>120</v>
      </c>
      <c r="E3252" t="s">
        <v>116</v>
      </c>
      <c r="F3252" t="s">
        <v>117</v>
      </c>
      <c r="H3252" t="s">
        <v>835</v>
      </c>
      <c r="I3252" t="str">
        <f>"101050002006515"</f>
        <v>101050002006515</v>
      </c>
      <c r="J3252" t="str">
        <f t="shared" si="604"/>
        <v>31090</v>
      </c>
      <c r="K3252" t="s">
        <v>76</v>
      </c>
      <c r="L3252">
        <v>49</v>
      </c>
      <c r="M3252">
        <v>49</v>
      </c>
      <c r="N3252">
        <v>0</v>
      </c>
      <c r="O3252" s="1">
        <v>45581.504907407405</v>
      </c>
      <c r="P3252" t="s">
        <v>122</v>
      </c>
    </row>
    <row r="3253" spans="1:16" x14ac:dyDescent="0.3">
      <c r="A3253" t="s">
        <v>25</v>
      </c>
      <c r="B3253" s="1">
        <v>45581.504513888889</v>
      </c>
      <c r="C3253" t="str">
        <f>"38"</f>
        <v>38</v>
      </c>
      <c r="D3253" t="s">
        <v>115</v>
      </c>
      <c r="E3253" t="s">
        <v>116</v>
      </c>
      <c r="F3253" t="s">
        <v>117</v>
      </c>
      <c r="H3253" t="s">
        <v>836</v>
      </c>
      <c r="L3253">
        <v>0</v>
      </c>
      <c r="M3253">
        <v>0</v>
      </c>
      <c r="N3253">
        <v>0</v>
      </c>
      <c r="O3253" s="1">
        <v>45581.504513888889</v>
      </c>
      <c r="P3253" t="s">
        <v>138</v>
      </c>
    </row>
    <row r="3254" spans="1:16" x14ac:dyDescent="0.3">
      <c r="A3254" t="s">
        <v>25</v>
      </c>
      <c r="B3254" s="1">
        <v>45581.504513888889</v>
      </c>
      <c r="C3254" t="str">
        <f>"41"</f>
        <v>41</v>
      </c>
      <c r="D3254" t="s">
        <v>120</v>
      </c>
      <c r="E3254" t="s">
        <v>116</v>
      </c>
      <c r="F3254" t="s">
        <v>117</v>
      </c>
      <c r="H3254" t="s">
        <v>836</v>
      </c>
      <c r="I3254" t="str">
        <f>"101050002016591"</f>
        <v>101050002016591</v>
      </c>
      <c r="J3254" t="str">
        <f>"514846"</f>
        <v>514846</v>
      </c>
      <c r="K3254" t="s">
        <v>18</v>
      </c>
      <c r="L3254">
        <v>49</v>
      </c>
      <c r="M3254">
        <v>49</v>
      </c>
      <c r="N3254">
        <v>0</v>
      </c>
      <c r="O3254" s="1">
        <v>45581.504513888889</v>
      </c>
      <c r="P3254" t="s">
        <v>138</v>
      </c>
    </row>
    <row r="3255" spans="1:16" x14ac:dyDescent="0.3">
      <c r="A3255" t="s">
        <v>25</v>
      </c>
      <c r="B3255" s="1">
        <v>45581.504513888889</v>
      </c>
      <c r="C3255" t="str">
        <f>"41"</f>
        <v>41</v>
      </c>
      <c r="D3255" t="s">
        <v>120</v>
      </c>
      <c r="E3255" t="s">
        <v>116</v>
      </c>
      <c r="F3255" t="s">
        <v>117</v>
      </c>
      <c r="H3255" t="s">
        <v>836</v>
      </c>
      <c r="I3255" t="str">
        <f>"101050002015794"</f>
        <v>101050002015794</v>
      </c>
      <c r="J3255" t="str">
        <f>"514846"</f>
        <v>514846</v>
      </c>
      <c r="K3255" t="s">
        <v>18</v>
      </c>
      <c r="L3255">
        <v>49</v>
      </c>
      <c r="M3255">
        <v>49</v>
      </c>
      <c r="N3255">
        <v>0</v>
      </c>
      <c r="O3255" s="1">
        <v>45581.504513888889</v>
      </c>
      <c r="P3255" t="s">
        <v>138</v>
      </c>
    </row>
    <row r="3256" spans="1:16" x14ac:dyDescent="0.3">
      <c r="A3256" t="s">
        <v>25</v>
      </c>
      <c r="B3256" s="1">
        <v>45581.504513888889</v>
      </c>
      <c r="C3256" t="str">
        <f>"41"</f>
        <v>41</v>
      </c>
      <c r="D3256" t="s">
        <v>120</v>
      </c>
      <c r="E3256" t="s">
        <v>116</v>
      </c>
      <c r="F3256" t="s">
        <v>117</v>
      </c>
      <c r="H3256" t="s">
        <v>836</v>
      </c>
      <c r="I3256" t="str">
        <f>"101050002009353"</f>
        <v>101050002009353</v>
      </c>
      <c r="J3256" t="str">
        <f>"514846"</f>
        <v>514846</v>
      </c>
      <c r="K3256" t="s">
        <v>18</v>
      </c>
      <c r="L3256">
        <v>49</v>
      </c>
      <c r="M3256">
        <v>49</v>
      </c>
      <c r="N3256">
        <v>0</v>
      </c>
      <c r="O3256" s="1">
        <v>45581.504513888889</v>
      </c>
      <c r="P3256" t="s">
        <v>138</v>
      </c>
    </row>
    <row r="3257" spans="1:16" x14ac:dyDescent="0.3">
      <c r="A3257" t="s">
        <v>25</v>
      </c>
      <c r="B3257" s="1">
        <v>45581.503912037035</v>
      </c>
      <c r="C3257" t="str">
        <f>"38"</f>
        <v>38</v>
      </c>
      <c r="D3257" t="s">
        <v>115</v>
      </c>
      <c r="E3257" t="s">
        <v>116</v>
      </c>
      <c r="F3257" t="s">
        <v>117</v>
      </c>
      <c r="H3257" t="s">
        <v>837</v>
      </c>
      <c r="L3257">
        <v>0</v>
      </c>
      <c r="M3257">
        <v>0</v>
      </c>
      <c r="N3257">
        <v>0</v>
      </c>
      <c r="O3257" s="1">
        <v>45581.503912037035</v>
      </c>
      <c r="P3257" t="s">
        <v>119</v>
      </c>
    </row>
    <row r="3258" spans="1:16" x14ac:dyDescent="0.3">
      <c r="A3258" t="s">
        <v>25</v>
      </c>
      <c r="B3258" s="1">
        <v>45581.503912037035</v>
      </c>
      <c r="C3258" t="str">
        <f t="shared" ref="C3258:C3263" si="605">"41"</f>
        <v>41</v>
      </c>
      <c r="D3258" t="s">
        <v>120</v>
      </c>
      <c r="E3258" t="s">
        <v>116</v>
      </c>
      <c r="F3258" t="s">
        <v>117</v>
      </c>
      <c r="H3258" t="s">
        <v>837</v>
      </c>
      <c r="I3258" t="str">
        <f>"101050002009351"</f>
        <v>101050002009351</v>
      </c>
      <c r="J3258" t="str">
        <f t="shared" ref="J3258:J3263" si="606">"31811"</f>
        <v>31811</v>
      </c>
      <c r="K3258" t="s">
        <v>17</v>
      </c>
      <c r="L3258">
        <v>49</v>
      </c>
      <c r="M3258">
        <v>49</v>
      </c>
      <c r="N3258">
        <v>0</v>
      </c>
      <c r="O3258" s="1">
        <v>45581.503912037035</v>
      </c>
      <c r="P3258" t="s">
        <v>119</v>
      </c>
    </row>
    <row r="3259" spans="1:16" x14ac:dyDescent="0.3">
      <c r="A3259" t="s">
        <v>25</v>
      </c>
      <c r="B3259" s="1">
        <v>45581.503912037035</v>
      </c>
      <c r="C3259" t="str">
        <f t="shared" si="605"/>
        <v>41</v>
      </c>
      <c r="D3259" t="s">
        <v>120</v>
      </c>
      <c r="E3259" t="s">
        <v>116</v>
      </c>
      <c r="F3259" t="s">
        <v>117</v>
      </c>
      <c r="H3259" t="s">
        <v>837</v>
      </c>
      <c r="I3259" t="str">
        <f>"101050002009278"</f>
        <v>101050002009278</v>
      </c>
      <c r="J3259" t="str">
        <f t="shared" si="606"/>
        <v>31811</v>
      </c>
      <c r="K3259" t="s">
        <v>17</v>
      </c>
      <c r="L3259">
        <v>49</v>
      </c>
      <c r="M3259">
        <v>49</v>
      </c>
      <c r="N3259">
        <v>0</v>
      </c>
      <c r="O3259" s="1">
        <v>45581.503912037035</v>
      </c>
      <c r="P3259" t="s">
        <v>119</v>
      </c>
    </row>
    <row r="3260" spans="1:16" x14ac:dyDescent="0.3">
      <c r="A3260" t="s">
        <v>25</v>
      </c>
      <c r="B3260" s="1">
        <v>45581.503912037035</v>
      </c>
      <c r="C3260" t="str">
        <f t="shared" si="605"/>
        <v>41</v>
      </c>
      <c r="D3260" t="s">
        <v>120</v>
      </c>
      <c r="E3260" t="s">
        <v>116</v>
      </c>
      <c r="F3260" t="s">
        <v>117</v>
      </c>
      <c r="H3260" t="s">
        <v>837</v>
      </c>
      <c r="I3260" t="str">
        <f>"101050002008993"</f>
        <v>101050002008993</v>
      </c>
      <c r="J3260" t="str">
        <f t="shared" si="606"/>
        <v>31811</v>
      </c>
      <c r="K3260" t="s">
        <v>17</v>
      </c>
      <c r="L3260">
        <v>49</v>
      </c>
      <c r="M3260">
        <v>49</v>
      </c>
      <c r="N3260">
        <v>0</v>
      </c>
      <c r="O3260" s="1">
        <v>45581.503912037035</v>
      </c>
      <c r="P3260" t="s">
        <v>119</v>
      </c>
    </row>
    <row r="3261" spans="1:16" x14ac:dyDescent="0.3">
      <c r="A3261" t="s">
        <v>25</v>
      </c>
      <c r="B3261" s="1">
        <v>45581.503912037035</v>
      </c>
      <c r="C3261" t="str">
        <f t="shared" si="605"/>
        <v>41</v>
      </c>
      <c r="D3261" t="s">
        <v>120</v>
      </c>
      <c r="E3261" t="s">
        <v>116</v>
      </c>
      <c r="F3261" t="s">
        <v>117</v>
      </c>
      <c r="H3261" t="s">
        <v>837</v>
      </c>
      <c r="I3261" t="str">
        <f>"101050002009413"</f>
        <v>101050002009413</v>
      </c>
      <c r="J3261" t="str">
        <f t="shared" si="606"/>
        <v>31811</v>
      </c>
      <c r="K3261" t="s">
        <v>17</v>
      </c>
      <c r="L3261">
        <v>49</v>
      </c>
      <c r="M3261">
        <v>49</v>
      </c>
      <c r="N3261">
        <v>0</v>
      </c>
      <c r="O3261" s="1">
        <v>45581.503912037035</v>
      </c>
      <c r="P3261" t="s">
        <v>119</v>
      </c>
    </row>
    <row r="3262" spans="1:16" x14ac:dyDescent="0.3">
      <c r="A3262" t="s">
        <v>25</v>
      </c>
      <c r="B3262" s="1">
        <v>45581.503912037035</v>
      </c>
      <c r="C3262" t="str">
        <f t="shared" si="605"/>
        <v>41</v>
      </c>
      <c r="D3262" t="s">
        <v>120</v>
      </c>
      <c r="E3262" t="s">
        <v>116</v>
      </c>
      <c r="F3262" t="s">
        <v>117</v>
      </c>
      <c r="H3262" t="s">
        <v>837</v>
      </c>
      <c r="I3262" t="str">
        <f>"101050002009414"</f>
        <v>101050002009414</v>
      </c>
      <c r="J3262" t="str">
        <f t="shared" si="606"/>
        <v>31811</v>
      </c>
      <c r="K3262" t="s">
        <v>17</v>
      </c>
      <c r="L3262">
        <v>49</v>
      </c>
      <c r="M3262">
        <v>49</v>
      </c>
      <c r="N3262">
        <v>0</v>
      </c>
      <c r="O3262" s="1">
        <v>45581.503912037035</v>
      </c>
      <c r="P3262" t="s">
        <v>119</v>
      </c>
    </row>
    <row r="3263" spans="1:16" x14ac:dyDescent="0.3">
      <c r="A3263" t="s">
        <v>25</v>
      </c>
      <c r="B3263" s="1">
        <v>45581.503900462965</v>
      </c>
      <c r="C3263" t="str">
        <f t="shared" si="605"/>
        <v>41</v>
      </c>
      <c r="D3263" t="s">
        <v>120</v>
      </c>
      <c r="E3263" t="s">
        <v>116</v>
      </c>
      <c r="F3263" t="s">
        <v>117</v>
      </c>
      <c r="H3263" t="s">
        <v>837</v>
      </c>
      <c r="I3263" t="str">
        <f>"101050002009277"</f>
        <v>101050002009277</v>
      </c>
      <c r="J3263" t="str">
        <f t="shared" si="606"/>
        <v>31811</v>
      </c>
      <c r="K3263" t="s">
        <v>17</v>
      </c>
      <c r="L3263">
        <v>49</v>
      </c>
      <c r="M3263">
        <v>49</v>
      </c>
      <c r="N3263">
        <v>0</v>
      </c>
      <c r="O3263" s="1">
        <v>45581.503900462965</v>
      </c>
      <c r="P3263" t="s">
        <v>119</v>
      </c>
    </row>
    <row r="3264" spans="1:16" x14ac:dyDescent="0.3">
      <c r="A3264" t="s">
        <v>25</v>
      </c>
      <c r="B3264" s="1">
        <v>45581.503912037035</v>
      </c>
      <c r="C3264" t="str">
        <f>"38"</f>
        <v>38</v>
      </c>
      <c r="D3264" t="s">
        <v>115</v>
      </c>
      <c r="E3264" t="s">
        <v>116</v>
      </c>
      <c r="F3264" t="s">
        <v>117</v>
      </c>
      <c r="H3264" t="s">
        <v>838</v>
      </c>
      <c r="L3264">
        <v>0</v>
      </c>
      <c r="M3264">
        <v>0</v>
      </c>
      <c r="N3264">
        <v>0</v>
      </c>
      <c r="O3264" s="1">
        <v>45581.503912037035</v>
      </c>
      <c r="P3264" t="s">
        <v>122</v>
      </c>
    </row>
    <row r="3265" spans="1:16" x14ac:dyDescent="0.3">
      <c r="A3265" t="s">
        <v>25</v>
      </c>
      <c r="B3265" s="1">
        <v>45581.503819444442</v>
      </c>
      <c r="C3265" t="str">
        <f>"38"</f>
        <v>38</v>
      </c>
      <c r="D3265" t="s">
        <v>115</v>
      </c>
      <c r="E3265" t="s">
        <v>116</v>
      </c>
      <c r="F3265" t="s">
        <v>117</v>
      </c>
      <c r="H3265" t="s">
        <v>839</v>
      </c>
      <c r="L3265">
        <v>0</v>
      </c>
      <c r="M3265">
        <v>0</v>
      </c>
      <c r="N3265">
        <v>0</v>
      </c>
      <c r="O3265" s="1">
        <v>45581.503819444442</v>
      </c>
      <c r="P3265" t="s">
        <v>122</v>
      </c>
    </row>
    <row r="3266" spans="1:16" x14ac:dyDescent="0.3">
      <c r="A3266" t="s">
        <v>25</v>
      </c>
      <c r="B3266" s="1">
        <v>45581.503750000003</v>
      </c>
      <c r="C3266" t="str">
        <f>"38"</f>
        <v>38</v>
      </c>
      <c r="D3266" t="s">
        <v>115</v>
      </c>
      <c r="E3266" t="s">
        <v>116</v>
      </c>
      <c r="F3266" t="s">
        <v>117</v>
      </c>
      <c r="H3266" t="s">
        <v>840</v>
      </c>
      <c r="L3266">
        <v>0</v>
      </c>
      <c r="M3266">
        <v>0</v>
      </c>
      <c r="N3266">
        <v>0</v>
      </c>
      <c r="O3266" s="1">
        <v>45581.503750000003</v>
      </c>
      <c r="P3266" t="s">
        <v>122</v>
      </c>
    </row>
    <row r="3267" spans="1:16" x14ac:dyDescent="0.3">
      <c r="A3267" t="s">
        <v>25</v>
      </c>
      <c r="B3267" s="1">
        <v>45581.503750000003</v>
      </c>
      <c r="C3267" t="str">
        <f>"41"</f>
        <v>41</v>
      </c>
      <c r="D3267" t="s">
        <v>120</v>
      </c>
      <c r="E3267" t="s">
        <v>116</v>
      </c>
      <c r="F3267" t="s">
        <v>117</v>
      </c>
      <c r="H3267" t="s">
        <v>840</v>
      </c>
      <c r="I3267" t="str">
        <f>"101050002013754"</f>
        <v>101050002013754</v>
      </c>
      <c r="J3267" t="str">
        <f>"0800"</f>
        <v>0800</v>
      </c>
      <c r="K3267" t="s">
        <v>26</v>
      </c>
      <c r="L3267">
        <v>49</v>
      </c>
      <c r="M3267">
        <v>49</v>
      </c>
      <c r="N3267">
        <v>0</v>
      </c>
      <c r="O3267" s="1">
        <v>45581.503750000003</v>
      </c>
      <c r="P3267" t="s">
        <v>122</v>
      </c>
    </row>
    <row r="3268" spans="1:16" x14ac:dyDescent="0.3">
      <c r="A3268" t="s">
        <v>25</v>
      </c>
      <c r="B3268" s="1">
        <v>45581.503738425927</v>
      </c>
      <c r="C3268" t="str">
        <f>"41"</f>
        <v>41</v>
      </c>
      <c r="D3268" t="s">
        <v>120</v>
      </c>
      <c r="E3268" t="s">
        <v>116</v>
      </c>
      <c r="F3268" t="s">
        <v>117</v>
      </c>
      <c r="H3268" t="s">
        <v>840</v>
      </c>
      <c r="I3268" t="str">
        <f>"101050002013753"</f>
        <v>101050002013753</v>
      </c>
      <c r="J3268" t="str">
        <f>"0800"</f>
        <v>0800</v>
      </c>
      <c r="K3268" t="s">
        <v>26</v>
      </c>
      <c r="L3268">
        <v>49</v>
      </c>
      <c r="M3268">
        <v>49</v>
      </c>
      <c r="N3268">
        <v>0</v>
      </c>
      <c r="O3268" s="1">
        <v>45581.503738425927</v>
      </c>
      <c r="P3268" t="s">
        <v>122</v>
      </c>
    </row>
    <row r="3269" spans="1:16" x14ac:dyDescent="0.3">
      <c r="A3269" t="s">
        <v>25</v>
      </c>
      <c r="B3269" s="1">
        <v>45581.503738425927</v>
      </c>
      <c r="C3269" t="str">
        <f>"41"</f>
        <v>41</v>
      </c>
      <c r="D3269" t="s">
        <v>120</v>
      </c>
      <c r="E3269" t="s">
        <v>116</v>
      </c>
      <c r="F3269" t="s">
        <v>117</v>
      </c>
      <c r="H3269" t="s">
        <v>840</v>
      </c>
      <c r="I3269" t="str">
        <f>"101050002013755"</f>
        <v>101050002013755</v>
      </c>
      <c r="J3269" t="str">
        <f>"0800"</f>
        <v>0800</v>
      </c>
      <c r="K3269" t="s">
        <v>26</v>
      </c>
      <c r="L3269">
        <v>49</v>
      </c>
      <c r="M3269">
        <v>49</v>
      </c>
      <c r="N3269">
        <v>0</v>
      </c>
      <c r="O3269" s="1">
        <v>45581.503738425927</v>
      </c>
      <c r="P3269" t="s">
        <v>122</v>
      </c>
    </row>
    <row r="3270" spans="1:16" x14ac:dyDescent="0.3">
      <c r="A3270" t="s">
        <v>25</v>
      </c>
      <c r="B3270" s="1">
        <v>45581.504270833335</v>
      </c>
      <c r="C3270" t="str">
        <f>"38"</f>
        <v>38</v>
      </c>
      <c r="D3270" t="s">
        <v>115</v>
      </c>
      <c r="E3270" t="s">
        <v>116</v>
      </c>
      <c r="F3270" t="s">
        <v>117</v>
      </c>
      <c r="H3270" t="s">
        <v>841</v>
      </c>
      <c r="L3270">
        <v>0</v>
      </c>
      <c r="M3270">
        <v>0</v>
      </c>
      <c r="N3270">
        <v>0</v>
      </c>
      <c r="O3270" s="1">
        <v>45581.504270833335</v>
      </c>
      <c r="P3270" t="s">
        <v>138</v>
      </c>
    </row>
    <row r="3271" spans="1:16" x14ac:dyDescent="0.3">
      <c r="A3271" t="s">
        <v>25</v>
      </c>
      <c r="B3271" s="1">
        <v>45581.504270833335</v>
      </c>
      <c r="C3271" t="str">
        <f>"41"</f>
        <v>41</v>
      </c>
      <c r="D3271" t="s">
        <v>120</v>
      </c>
      <c r="E3271" t="s">
        <v>116</v>
      </c>
      <c r="F3271" t="s">
        <v>117</v>
      </c>
      <c r="H3271" t="s">
        <v>841</v>
      </c>
      <c r="I3271" t="str">
        <f>"101050002007533"</f>
        <v>101050002007533</v>
      </c>
      <c r="J3271" t="str">
        <f>"31090"</f>
        <v>31090</v>
      </c>
      <c r="K3271" t="s">
        <v>76</v>
      </c>
      <c r="L3271">
        <v>49</v>
      </c>
      <c r="M3271">
        <v>49</v>
      </c>
      <c r="N3271">
        <v>0</v>
      </c>
      <c r="O3271" s="1">
        <v>45581.504270833335</v>
      </c>
      <c r="P3271" t="s">
        <v>138</v>
      </c>
    </row>
    <row r="3272" spans="1:16" x14ac:dyDescent="0.3">
      <c r="A3272" t="s">
        <v>25</v>
      </c>
      <c r="B3272" s="1">
        <v>45581.503738425927</v>
      </c>
      <c r="C3272" t="str">
        <f>"41"</f>
        <v>41</v>
      </c>
      <c r="D3272" t="s">
        <v>120</v>
      </c>
      <c r="E3272" t="s">
        <v>116</v>
      </c>
      <c r="F3272" t="s">
        <v>117</v>
      </c>
      <c r="H3272" t="s">
        <v>840</v>
      </c>
      <c r="I3272" t="str">
        <f>"101050002013802"</f>
        <v>101050002013802</v>
      </c>
      <c r="J3272" t="str">
        <f>"0800"</f>
        <v>0800</v>
      </c>
      <c r="K3272" t="s">
        <v>26</v>
      </c>
      <c r="L3272">
        <v>49</v>
      </c>
      <c r="M3272">
        <v>49</v>
      </c>
      <c r="N3272">
        <v>0</v>
      </c>
      <c r="O3272" s="1">
        <v>45581.503738425927</v>
      </c>
      <c r="P3272" t="s">
        <v>122</v>
      </c>
    </row>
    <row r="3273" spans="1:16" x14ac:dyDescent="0.3">
      <c r="A3273" t="s">
        <v>25</v>
      </c>
      <c r="B3273" s="1">
        <v>45581.503738425927</v>
      </c>
      <c r="C3273" t="str">
        <f>"41"</f>
        <v>41</v>
      </c>
      <c r="D3273" t="s">
        <v>120</v>
      </c>
      <c r="E3273" t="s">
        <v>116</v>
      </c>
      <c r="F3273" t="s">
        <v>117</v>
      </c>
      <c r="H3273" t="s">
        <v>840</v>
      </c>
      <c r="I3273" t="str">
        <f>"101050002014092"</f>
        <v>101050002014092</v>
      </c>
      <c r="J3273" t="str">
        <f>"0800"</f>
        <v>0800</v>
      </c>
      <c r="K3273" t="s">
        <v>26</v>
      </c>
      <c r="L3273">
        <v>49</v>
      </c>
      <c r="M3273">
        <v>49</v>
      </c>
      <c r="N3273">
        <v>0</v>
      </c>
      <c r="O3273" s="1">
        <v>45581.503738425927</v>
      </c>
      <c r="P3273" t="s">
        <v>122</v>
      </c>
    </row>
    <row r="3274" spans="1:16" x14ac:dyDescent="0.3">
      <c r="A3274" t="s">
        <v>25</v>
      </c>
      <c r="B3274" s="1">
        <v>45581.503738425927</v>
      </c>
      <c r="C3274" t="str">
        <f>"41"</f>
        <v>41</v>
      </c>
      <c r="D3274" t="s">
        <v>120</v>
      </c>
      <c r="E3274" t="s">
        <v>116</v>
      </c>
      <c r="F3274" t="s">
        <v>117</v>
      </c>
      <c r="H3274" t="s">
        <v>840</v>
      </c>
      <c r="I3274" t="str">
        <f>"101050002013668"</f>
        <v>101050002013668</v>
      </c>
      <c r="J3274" t="str">
        <f>"0800"</f>
        <v>0800</v>
      </c>
      <c r="K3274" t="s">
        <v>26</v>
      </c>
      <c r="L3274">
        <v>49</v>
      </c>
      <c r="M3274">
        <v>49</v>
      </c>
      <c r="N3274">
        <v>0</v>
      </c>
      <c r="O3274" s="1">
        <v>45581.503738425927</v>
      </c>
      <c r="P3274" t="s">
        <v>122</v>
      </c>
    </row>
    <row r="3275" spans="1:16" x14ac:dyDescent="0.3">
      <c r="A3275" t="s">
        <v>25</v>
      </c>
      <c r="B3275" s="1">
        <v>45581.503738425927</v>
      </c>
      <c r="C3275" t="str">
        <f>"41"</f>
        <v>41</v>
      </c>
      <c r="D3275" t="s">
        <v>120</v>
      </c>
      <c r="E3275" t="s">
        <v>116</v>
      </c>
      <c r="F3275" t="s">
        <v>117</v>
      </c>
      <c r="H3275" t="s">
        <v>840</v>
      </c>
      <c r="I3275" t="str">
        <f>"101050002003215"</f>
        <v>101050002003215</v>
      </c>
      <c r="J3275" t="str">
        <f>"0800"</f>
        <v>0800</v>
      </c>
      <c r="K3275" t="s">
        <v>26</v>
      </c>
      <c r="L3275">
        <v>49</v>
      </c>
      <c r="M3275">
        <v>49</v>
      </c>
      <c r="N3275">
        <v>0</v>
      </c>
      <c r="O3275" s="1">
        <v>45581.503738425927</v>
      </c>
      <c r="P3275" t="s">
        <v>122</v>
      </c>
    </row>
    <row r="3276" spans="1:16" x14ac:dyDescent="0.3">
      <c r="A3276" t="s">
        <v>25</v>
      </c>
      <c r="B3276" s="1">
        <v>45581.503333333334</v>
      </c>
      <c r="C3276" t="str">
        <f>"38"</f>
        <v>38</v>
      </c>
      <c r="D3276" t="s">
        <v>115</v>
      </c>
      <c r="E3276" t="s">
        <v>116</v>
      </c>
      <c r="F3276" t="s">
        <v>117</v>
      </c>
      <c r="H3276" t="s">
        <v>831</v>
      </c>
      <c r="L3276">
        <v>0</v>
      </c>
      <c r="M3276">
        <v>0</v>
      </c>
      <c r="N3276">
        <v>0</v>
      </c>
      <c r="O3276" s="1">
        <v>45581.503333333334</v>
      </c>
      <c r="P3276" t="s">
        <v>138</v>
      </c>
    </row>
    <row r="3277" spans="1:16" x14ac:dyDescent="0.3">
      <c r="A3277" t="s">
        <v>25</v>
      </c>
      <c r="B3277" s="1">
        <v>45581.500671296293</v>
      </c>
      <c r="C3277" t="str">
        <f>"38"</f>
        <v>38</v>
      </c>
      <c r="D3277" t="s">
        <v>115</v>
      </c>
      <c r="E3277" t="s">
        <v>116</v>
      </c>
      <c r="F3277" t="s">
        <v>117</v>
      </c>
      <c r="H3277" t="s">
        <v>842</v>
      </c>
      <c r="L3277">
        <v>0</v>
      </c>
      <c r="M3277">
        <v>0</v>
      </c>
      <c r="N3277">
        <v>0</v>
      </c>
      <c r="O3277" s="1">
        <v>45581.500671296293</v>
      </c>
      <c r="P3277" t="s">
        <v>119</v>
      </c>
    </row>
    <row r="3278" spans="1:16" x14ac:dyDescent="0.3">
      <c r="A3278" t="s">
        <v>25</v>
      </c>
      <c r="B3278" s="1">
        <v>45581.500671296293</v>
      </c>
      <c r="C3278" t="str">
        <f t="shared" ref="C3278:C3284" si="607">"41"</f>
        <v>41</v>
      </c>
      <c r="D3278" t="s">
        <v>120</v>
      </c>
      <c r="E3278" t="s">
        <v>116</v>
      </c>
      <c r="F3278" t="s">
        <v>117</v>
      </c>
      <c r="H3278" t="s">
        <v>842</v>
      </c>
      <c r="I3278" t="str">
        <f>"101050002019995"</f>
        <v>101050002019995</v>
      </c>
      <c r="J3278" t="str">
        <f t="shared" ref="J3278:J3284" si="608">"127924"</f>
        <v>127924</v>
      </c>
      <c r="K3278" t="s">
        <v>3</v>
      </c>
      <c r="L3278">
        <v>49</v>
      </c>
      <c r="M3278">
        <v>49</v>
      </c>
      <c r="N3278">
        <v>0</v>
      </c>
      <c r="O3278" s="1">
        <v>45581.500671296293</v>
      </c>
      <c r="P3278" t="s">
        <v>119</v>
      </c>
    </row>
    <row r="3279" spans="1:16" x14ac:dyDescent="0.3">
      <c r="A3279" t="s">
        <v>25</v>
      </c>
      <c r="B3279" s="1">
        <v>45581.500659722224</v>
      </c>
      <c r="C3279" t="str">
        <f t="shared" si="607"/>
        <v>41</v>
      </c>
      <c r="D3279" t="s">
        <v>120</v>
      </c>
      <c r="E3279" t="s">
        <v>116</v>
      </c>
      <c r="F3279" t="s">
        <v>117</v>
      </c>
      <c r="H3279" t="s">
        <v>842</v>
      </c>
      <c r="I3279" t="str">
        <f>"101050002018557"</f>
        <v>101050002018557</v>
      </c>
      <c r="J3279" t="str">
        <f t="shared" si="608"/>
        <v>127924</v>
      </c>
      <c r="K3279" t="s">
        <v>3</v>
      </c>
      <c r="L3279">
        <v>49</v>
      </c>
      <c r="M3279">
        <v>49</v>
      </c>
      <c r="N3279">
        <v>0</v>
      </c>
      <c r="O3279" s="1">
        <v>45581.500659722224</v>
      </c>
      <c r="P3279" t="s">
        <v>119</v>
      </c>
    </row>
    <row r="3280" spans="1:16" x14ac:dyDescent="0.3">
      <c r="A3280" t="s">
        <v>25</v>
      </c>
      <c r="B3280" s="1">
        <v>45581.500659722224</v>
      </c>
      <c r="C3280" t="str">
        <f t="shared" si="607"/>
        <v>41</v>
      </c>
      <c r="D3280" t="s">
        <v>120</v>
      </c>
      <c r="E3280" t="s">
        <v>116</v>
      </c>
      <c r="F3280" t="s">
        <v>117</v>
      </c>
      <c r="H3280" t="s">
        <v>842</v>
      </c>
      <c r="I3280" t="str">
        <f>"101050002020224"</f>
        <v>101050002020224</v>
      </c>
      <c r="J3280" t="str">
        <f t="shared" si="608"/>
        <v>127924</v>
      </c>
      <c r="K3280" t="s">
        <v>3</v>
      </c>
      <c r="L3280">
        <v>49</v>
      </c>
      <c r="M3280">
        <v>49</v>
      </c>
      <c r="N3280">
        <v>0</v>
      </c>
      <c r="O3280" s="1">
        <v>45581.500659722224</v>
      </c>
      <c r="P3280" t="s">
        <v>119</v>
      </c>
    </row>
    <row r="3281" spans="1:16" x14ac:dyDescent="0.3">
      <c r="A3281" t="s">
        <v>25</v>
      </c>
      <c r="B3281" s="1">
        <v>45581.500659722224</v>
      </c>
      <c r="C3281" t="str">
        <f t="shared" si="607"/>
        <v>41</v>
      </c>
      <c r="D3281" t="s">
        <v>120</v>
      </c>
      <c r="E3281" t="s">
        <v>116</v>
      </c>
      <c r="F3281" t="s">
        <v>117</v>
      </c>
      <c r="H3281" t="s">
        <v>842</v>
      </c>
      <c r="I3281" t="str">
        <f>"101050002019994"</f>
        <v>101050002019994</v>
      </c>
      <c r="J3281" t="str">
        <f t="shared" si="608"/>
        <v>127924</v>
      </c>
      <c r="K3281" t="s">
        <v>3</v>
      </c>
      <c r="L3281">
        <v>49</v>
      </c>
      <c r="M3281">
        <v>49</v>
      </c>
      <c r="N3281">
        <v>0</v>
      </c>
      <c r="O3281" s="1">
        <v>45581.500659722224</v>
      </c>
      <c r="P3281" t="s">
        <v>119</v>
      </c>
    </row>
    <row r="3282" spans="1:16" x14ac:dyDescent="0.3">
      <c r="A3282" t="s">
        <v>25</v>
      </c>
      <c r="B3282" s="1">
        <v>45581.500659722224</v>
      </c>
      <c r="C3282" t="str">
        <f t="shared" si="607"/>
        <v>41</v>
      </c>
      <c r="D3282" t="s">
        <v>120</v>
      </c>
      <c r="E3282" t="s">
        <v>116</v>
      </c>
      <c r="F3282" t="s">
        <v>117</v>
      </c>
      <c r="H3282" t="s">
        <v>842</v>
      </c>
      <c r="I3282" t="str">
        <f>"101050002020258"</f>
        <v>101050002020258</v>
      </c>
      <c r="J3282" t="str">
        <f t="shared" si="608"/>
        <v>127924</v>
      </c>
      <c r="K3282" t="s">
        <v>3</v>
      </c>
      <c r="L3282">
        <v>49</v>
      </c>
      <c r="M3282">
        <v>49</v>
      </c>
      <c r="N3282">
        <v>0</v>
      </c>
      <c r="O3282" s="1">
        <v>45581.500659722224</v>
      </c>
      <c r="P3282" t="s">
        <v>119</v>
      </c>
    </row>
    <row r="3283" spans="1:16" x14ac:dyDescent="0.3">
      <c r="A3283" t="s">
        <v>25</v>
      </c>
      <c r="B3283" s="1">
        <v>45581.500659722224</v>
      </c>
      <c r="C3283" t="str">
        <f t="shared" si="607"/>
        <v>41</v>
      </c>
      <c r="D3283" t="s">
        <v>120</v>
      </c>
      <c r="E3283" t="s">
        <v>116</v>
      </c>
      <c r="F3283" t="s">
        <v>117</v>
      </c>
      <c r="H3283" t="s">
        <v>842</v>
      </c>
      <c r="I3283" t="str">
        <f>"101050002019120"</f>
        <v>101050002019120</v>
      </c>
      <c r="J3283" t="str">
        <f t="shared" si="608"/>
        <v>127924</v>
      </c>
      <c r="K3283" t="s">
        <v>3</v>
      </c>
      <c r="L3283">
        <v>49</v>
      </c>
      <c r="M3283">
        <v>49</v>
      </c>
      <c r="N3283">
        <v>0</v>
      </c>
      <c r="O3283" s="1">
        <v>45581.500659722224</v>
      </c>
      <c r="P3283" t="s">
        <v>119</v>
      </c>
    </row>
    <row r="3284" spans="1:16" x14ac:dyDescent="0.3">
      <c r="A3284" t="s">
        <v>25</v>
      </c>
      <c r="B3284" s="1">
        <v>45581.500659722224</v>
      </c>
      <c r="C3284" t="str">
        <f t="shared" si="607"/>
        <v>41</v>
      </c>
      <c r="D3284" t="s">
        <v>120</v>
      </c>
      <c r="E3284" t="s">
        <v>116</v>
      </c>
      <c r="F3284" t="s">
        <v>117</v>
      </c>
      <c r="H3284" t="s">
        <v>842</v>
      </c>
      <c r="I3284" t="str">
        <f>"101050002016664"</f>
        <v>101050002016664</v>
      </c>
      <c r="J3284" t="str">
        <f t="shared" si="608"/>
        <v>127924</v>
      </c>
      <c r="K3284" t="s">
        <v>3</v>
      </c>
      <c r="L3284">
        <v>49</v>
      </c>
      <c r="M3284">
        <v>49</v>
      </c>
      <c r="N3284">
        <v>0</v>
      </c>
      <c r="O3284" s="1">
        <v>45581.500659722224</v>
      </c>
      <c r="P3284" t="s">
        <v>119</v>
      </c>
    </row>
    <row r="3285" spans="1:16" x14ac:dyDescent="0.3">
      <c r="A3285" t="s">
        <v>25</v>
      </c>
      <c r="B3285" s="1">
        <v>45581.499282407407</v>
      </c>
      <c r="C3285" t="str">
        <f>"38"</f>
        <v>38</v>
      </c>
      <c r="D3285" t="s">
        <v>115</v>
      </c>
      <c r="E3285" t="s">
        <v>116</v>
      </c>
      <c r="F3285" t="s">
        <v>117</v>
      </c>
      <c r="H3285" t="s">
        <v>843</v>
      </c>
      <c r="L3285">
        <v>0</v>
      </c>
      <c r="M3285">
        <v>0</v>
      </c>
      <c r="N3285">
        <v>0</v>
      </c>
      <c r="O3285" s="1">
        <v>45581.499282407407</v>
      </c>
      <c r="P3285" t="s">
        <v>122</v>
      </c>
    </row>
    <row r="3286" spans="1:16" x14ac:dyDescent="0.3">
      <c r="A3286" t="s">
        <v>25</v>
      </c>
      <c r="B3286" s="1">
        <v>45581.499282407407</v>
      </c>
      <c r="C3286" t="str">
        <f>"41"</f>
        <v>41</v>
      </c>
      <c r="D3286" t="s">
        <v>120</v>
      </c>
      <c r="E3286" t="s">
        <v>116</v>
      </c>
      <c r="F3286" t="s">
        <v>117</v>
      </c>
      <c r="H3286" t="s">
        <v>843</v>
      </c>
      <c r="I3286" t="str">
        <f>"101620000468358"</f>
        <v>101620000468358</v>
      </c>
      <c r="J3286" t="str">
        <f>"514867"</f>
        <v>514867</v>
      </c>
      <c r="K3286" t="s">
        <v>16</v>
      </c>
      <c r="L3286">
        <v>49</v>
      </c>
      <c r="M3286">
        <v>49</v>
      </c>
      <c r="N3286">
        <v>0</v>
      </c>
      <c r="O3286" s="1">
        <v>45581.499282407407</v>
      </c>
      <c r="P3286" t="s">
        <v>122</v>
      </c>
    </row>
    <row r="3287" spans="1:16" x14ac:dyDescent="0.3">
      <c r="A3287" t="s">
        <v>25</v>
      </c>
      <c r="B3287" s="1">
        <v>45581.498576388891</v>
      </c>
      <c r="C3287" t="str">
        <f>"38"</f>
        <v>38</v>
      </c>
      <c r="D3287" t="s">
        <v>115</v>
      </c>
      <c r="E3287" t="s">
        <v>116</v>
      </c>
      <c r="F3287" t="s">
        <v>117</v>
      </c>
      <c r="H3287" t="s">
        <v>844</v>
      </c>
      <c r="L3287">
        <v>0</v>
      </c>
      <c r="M3287">
        <v>0</v>
      </c>
      <c r="N3287">
        <v>0</v>
      </c>
      <c r="O3287" s="1">
        <v>45581.498576388891</v>
      </c>
      <c r="P3287" t="s">
        <v>122</v>
      </c>
    </row>
    <row r="3288" spans="1:16" x14ac:dyDescent="0.3">
      <c r="A3288" t="s">
        <v>25</v>
      </c>
      <c r="B3288" s="1">
        <v>45581.498576388891</v>
      </c>
      <c r="C3288" t="str">
        <f t="shared" ref="C3288:C3294" si="609">"41"</f>
        <v>41</v>
      </c>
      <c r="D3288" t="s">
        <v>120</v>
      </c>
      <c r="E3288" t="s">
        <v>116</v>
      </c>
      <c r="F3288" t="s">
        <v>117</v>
      </c>
      <c r="H3288" t="s">
        <v>844</v>
      </c>
      <c r="I3288" t="str">
        <f>"101050002022781"</f>
        <v>101050002022781</v>
      </c>
      <c r="J3288" t="str">
        <f t="shared" ref="J3288:J3294" si="610">"126473"</f>
        <v>126473</v>
      </c>
      <c r="K3288" t="s">
        <v>46</v>
      </c>
      <c r="L3288">
        <v>49</v>
      </c>
      <c r="M3288">
        <v>49</v>
      </c>
      <c r="N3288">
        <v>0</v>
      </c>
      <c r="O3288" s="1">
        <v>45581.498576388891</v>
      </c>
      <c r="P3288" t="s">
        <v>122</v>
      </c>
    </row>
    <row r="3289" spans="1:16" x14ac:dyDescent="0.3">
      <c r="A3289" t="s">
        <v>25</v>
      </c>
      <c r="B3289" s="1">
        <v>45581.498576388891</v>
      </c>
      <c r="C3289" t="str">
        <f t="shared" si="609"/>
        <v>41</v>
      </c>
      <c r="D3289" t="s">
        <v>120</v>
      </c>
      <c r="E3289" t="s">
        <v>116</v>
      </c>
      <c r="F3289" t="s">
        <v>117</v>
      </c>
      <c r="H3289" t="s">
        <v>844</v>
      </c>
      <c r="I3289" t="str">
        <f>"101050002010718"</f>
        <v>101050002010718</v>
      </c>
      <c r="J3289" t="str">
        <f t="shared" si="610"/>
        <v>126473</v>
      </c>
      <c r="K3289" t="s">
        <v>46</v>
      </c>
      <c r="L3289">
        <v>49</v>
      </c>
      <c r="M3289">
        <v>49</v>
      </c>
      <c r="N3289">
        <v>0</v>
      </c>
      <c r="O3289" s="1">
        <v>45581.498576388891</v>
      </c>
      <c r="P3289" t="s">
        <v>122</v>
      </c>
    </row>
    <row r="3290" spans="1:16" x14ac:dyDescent="0.3">
      <c r="A3290" t="s">
        <v>25</v>
      </c>
      <c r="B3290" s="1">
        <v>45581.498564814814</v>
      </c>
      <c r="C3290" t="str">
        <f t="shared" si="609"/>
        <v>41</v>
      </c>
      <c r="D3290" t="s">
        <v>120</v>
      </c>
      <c r="E3290" t="s">
        <v>116</v>
      </c>
      <c r="F3290" t="s">
        <v>117</v>
      </c>
      <c r="H3290" t="s">
        <v>844</v>
      </c>
      <c r="I3290" t="str">
        <f>"101050002010537"</f>
        <v>101050002010537</v>
      </c>
      <c r="J3290" t="str">
        <f t="shared" si="610"/>
        <v>126473</v>
      </c>
      <c r="K3290" t="s">
        <v>46</v>
      </c>
      <c r="L3290">
        <v>49</v>
      </c>
      <c r="M3290">
        <v>49</v>
      </c>
      <c r="N3290">
        <v>0</v>
      </c>
      <c r="O3290" s="1">
        <v>45581.498564814814</v>
      </c>
      <c r="P3290" t="s">
        <v>122</v>
      </c>
    </row>
    <row r="3291" spans="1:16" x14ac:dyDescent="0.3">
      <c r="A3291" t="s">
        <v>25</v>
      </c>
      <c r="B3291" s="1">
        <v>45581.498564814814</v>
      </c>
      <c r="C3291" t="str">
        <f t="shared" si="609"/>
        <v>41</v>
      </c>
      <c r="D3291" t="s">
        <v>120</v>
      </c>
      <c r="E3291" t="s">
        <v>116</v>
      </c>
      <c r="F3291" t="s">
        <v>117</v>
      </c>
      <c r="H3291" t="s">
        <v>844</v>
      </c>
      <c r="I3291" t="str">
        <f>"101050002010009"</f>
        <v>101050002010009</v>
      </c>
      <c r="J3291" t="str">
        <f t="shared" si="610"/>
        <v>126473</v>
      </c>
      <c r="K3291" t="s">
        <v>46</v>
      </c>
      <c r="L3291">
        <v>49</v>
      </c>
      <c r="M3291">
        <v>49</v>
      </c>
      <c r="N3291">
        <v>0</v>
      </c>
      <c r="O3291" s="1">
        <v>45581.498564814814</v>
      </c>
      <c r="P3291" t="s">
        <v>122</v>
      </c>
    </row>
    <row r="3292" spans="1:16" x14ac:dyDescent="0.3">
      <c r="A3292" t="s">
        <v>25</v>
      </c>
      <c r="B3292" s="1">
        <v>45581.498564814814</v>
      </c>
      <c r="C3292" t="str">
        <f t="shared" si="609"/>
        <v>41</v>
      </c>
      <c r="D3292" t="s">
        <v>120</v>
      </c>
      <c r="E3292" t="s">
        <v>116</v>
      </c>
      <c r="F3292" t="s">
        <v>117</v>
      </c>
      <c r="H3292" t="s">
        <v>844</v>
      </c>
      <c r="I3292" t="str">
        <f>"101050002010051"</f>
        <v>101050002010051</v>
      </c>
      <c r="J3292" t="str">
        <f t="shared" si="610"/>
        <v>126473</v>
      </c>
      <c r="K3292" t="s">
        <v>46</v>
      </c>
      <c r="L3292">
        <v>49</v>
      </c>
      <c r="M3292">
        <v>49</v>
      </c>
      <c r="N3292">
        <v>0</v>
      </c>
      <c r="O3292" s="1">
        <v>45581.498564814814</v>
      </c>
      <c r="P3292" t="s">
        <v>122</v>
      </c>
    </row>
    <row r="3293" spans="1:16" x14ac:dyDescent="0.3">
      <c r="A3293" t="s">
        <v>25</v>
      </c>
      <c r="B3293" s="1">
        <v>45581.498564814814</v>
      </c>
      <c r="C3293" t="str">
        <f t="shared" si="609"/>
        <v>41</v>
      </c>
      <c r="D3293" t="s">
        <v>120</v>
      </c>
      <c r="E3293" t="s">
        <v>116</v>
      </c>
      <c r="F3293" t="s">
        <v>117</v>
      </c>
      <c r="H3293" t="s">
        <v>844</v>
      </c>
      <c r="I3293" t="str">
        <f>"101050001981616"</f>
        <v>101050001981616</v>
      </c>
      <c r="J3293" t="str">
        <f t="shared" si="610"/>
        <v>126473</v>
      </c>
      <c r="K3293" t="s">
        <v>46</v>
      </c>
      <c r="L3293">
        <v>49</v>
      </c>
      <c r="M3293">
        <v>49</v>
      </c>
      <c r="N3293">
        <v>0</v>
      </c>
      <c r="O3293" s="1">
        <v>45581.498564814814</v>
      </c>
      <c r="P3293" t="s">
        <v>122</v>
      </c>
    </row>
    <row r="3294" spans="1:16" x14ac:dyDescent="0.3">
      <c r="A3294" t="s">
        <v>25</v>
      </c>
      <c r="B3294" s="1">
        <v>45581.498564814814</v>
      </c>
      <c r="C3294" t="str">
        <f t="shared" si="609"/>
        <v>41</v>
      </c>
      <c r="D3294" t="s">
        <v>120</v>
      </c>
      <c r="E3294" t="s">
        <v>116</v>
      </c>
      <c r="F3294" t="s">
        <v>117</v>
      </c>
      <c r="H3294" t="s">
        <v>844</v>
      </c>
      <c r="I3294" t="str">
        <f>"101050001981612"</f>
        <v>101050001981612</v>
      </c>
      <c r="J3294" t="str">
        <f t="shared" si="610"/>
        <v>126473</v>
      </c>
      <c r="K3294" t="s">
        <v>46</v>
      </c>
      <c r="L3294">
        <v>49</v>
      </c>
      <c r="M3294">
        <v>49</v>
      </c>
      <c r="N3294">
        <v>0</v>
      </c>
      <c r="O3294" s="1">
        <v>45581.498564814814</v>
      </c>
      <c r="P3294" t="s">
        <v>122</v>
      </c>
    </row>
    <row r="3295" spans="1:16" x14ac:dyDescent="0.3">
      <c r="A3295" t="s">
        <v>25</v>
      </c>
      <c r="B3295" s="1">
        <v>45581.498171296298</v>
      </c>
      <c r="C3295" t="str">
        <f>"38"</f>
        <v>38</v>
      </c>
      <c r="D3295" t="s">
        <v>115</v>
      </c>
      <c r="E3295" t="s">
        <v>116</v>
      </c>
      <c r="F3295" t="s">
        <v>117</v>
      </c>
      <c r="H3295" t="s">
        <v>845</v>
      </c>
      <c r="L3295">
        <v>0</v>
      </c>
      <c r="M3295">
        <v>0</v>
      </c>
      <c r="N3295">
        <v>0</v>
      </c>
      <c r="O3295" s="1">
        <v>45581.498171296298</v>
      </c>
      <c r="P3295" t="s">
        <v>119</v>
      </c>
    </row>
    <row r="3296" spans="1:16" x14ac:dyDescent="0.3">
      <c r="A3296" t="s">
        <v>25</v>
      </c>
      <c r="B3296" s="1">
        <v>45581.498171296298</v>
      </c>
      <c r="C3296" t="str">
        <f>"41"</f>
        <v>41</v>
      </c>
      <c r="D3296" t="s">
        <v>120</v>
      </c>
      <c r="E3296" t="s">
        <v>116</v>
      </c>
      <c r="F3296" t="s">
        <v>117</v>
      </c>
      <c r="H3296" t="s">
        <v>845</v>
      </c>
      <c r="I3296" t="str">
        <f>"101050001941835"</f>
        <v>101050001941835</v>
      </c>
      <c r="J3296" t="str">
        <f>"126485"</f>
        <v>126485</v>
      </c>
      <c r="K3296" t="s">
        <v>49</v>
      </c>
      <c r="L3296">
        <v>49</v>
      </c>
      <c r="M3296">
        <v>49</v>
      </c>
      <c r="N3296">
        <v>0</v>
      </c>
      <c r="O3296" s="1">
        <v>45581.498171296298</v>
      </c>
      <c r="P3296" t="s">
        <v>119</v>
      </c>
    </row>
    <row r="3297" spans="1:16" x14ac:dyDescent="0.3">
      <c r="A3297" t="s">
        <v>25</v>
      </c>
      <c r="B3297" s="1">
        <v>45581.498171296298</v>
      </c>
      <c r="C3297" t="str">
        <f>"41"</f>
        <v>41</v>
      </c>
      <c r="D3297" t="s">
        <v>120</v>
      </c>
      <c r="E3297" t="s">
        <v>116</v>
      </c>
      <c r="F3297" t="s">
        <v>117</v>
      </c>
      <c r="H3297" t="s">
        <v>845</v>
      </c>
      <c r="I3297" t="str">
        <f>"101050001941826"</f>
        <v>101050001941826</v>
      </c>
      <c r="J3297" t="str">
        <f>"126485"</f>
        <v>126485</v>
      </c>
      <c r="K3297" t="s">
        <v>49</v>
      </c>
      <c r="L3297">
        <v>49</v>
      </c>
      <c r="M3297">
        <v>49</v>
      </c>
      <c r="N3297">
        <v>0</v>
      </c>
      <c r="O3297" s="1">
        <v>45581.498171296298</v>
      </c>
      <c r="P3297" t="s">
        <v>119</v>
      </c>
    </row>
    <row r="3298" spans="1:16" x14ac:dyDescent="0.3">
      <c r="A3298" t="s">
        <v>25</v>
      </c>
      <c r="B3298" s="1">
        <v>45581.498171296298</v>
      </c>
      <c r="C3298" t="str">
        <f>"41"</f>
        <v>41</v>
      </c>
      <c r="D3298" t="s">
        <v>120</v>
      </c>
      <c r="E3298" t="s">
        <v>116</v>
      </c>
      <c r="F3298" t="s">
        <v>117</v>
      </c>
      <c r="H3298" t="s">
        <v>845</v>
      </c>
      <c r="I3298" t="str">
        <f>"101050001941689"</f>
        <v>101050001941689</v>
      </c>
      <c r="J3298" t="str">
        <f>"126485"</f>
        <v>126485</v>
      </c>
      <c r="K3298" t="s">
        <v>49</v>
      </c>
      <c r="L3298">
        <v>49</v>
      </c>
      <c r="M3298">
        <v>49</v>
      </c>
      <c r="N3298">
        <v>0</v>
      </c>
      <c r="O3298" s="1">
        <v>45581.498171296298</v>
      </c>
      <c r="P3298" t="s">
        <v>119</v>
      </c>
    </row>
    <row r="3299" spans="1:16" x14ac:dyDescent="0.3">
      <c r="A3299" t="s">
        <v>25</v>
      </c>
      <c r="B3299" s="1">
        <v>45581.498171296298</v>
      </c>
      <c r="C3299" t="str">
        <f>"41"</f>
        <v>41</v>
      </c>
      <c r="D3299" t="s">
        <v>120</v>
      </c>
      <c r="E3299" t="s">
        <v>116</v>
      </c>
      <c r="F3299" t="s">
        <v>117</v>
      </c>
      <c r="H3299" t="s">
        <v>845</v>
      </c>
      <c r="I3299" t="str">
        <f>"101050001941252"</f>
        <v>101050001941252</v>
      </c>
      <c r="J3299" t="str">
        <f>"126485"</f>
        <v>126485</v>
      </c>
      <c r="K3299" t="s">
        <v>49</v>
      </c>
      <c r="L3299">
        <v>49</v>
      </c>
      <c r="M3299">
        <v>49</v>
      </c>
      <c r="N3299">
        <v>0</v>
      </c>
      <c r="O3299" s="1">
        <v>45581.498171296298</v>
      </c>
      <c r="P3299" t="s">
        <v>119</v>
      </c>
    </row>
    <row r="3300" spans="1:16" x14ac:dyDescent="0.3">
      <c r="A3300" t="s">
        <v>25</v>
      </c>
      <c r="B3300" s="1">
        <v>45581.498171296298</v>
      </c>
      <c r="C3300" t="str">
        <f>"41"</f>
        <v>41</v>
      </c>
      <c r="D3300" t="s">
        <v>120</v>
      </c>
      <c r="E3300" t="s">
        <v>116</v>
      </c>
      <c r="F3300" t="s">
        <v>117</v>
      </c>
      <c r="H3300" t="s">
        <v>845</v>
      </c>
      <c r="I3300" t="str">
        <f>"101050001941406"</f>
        <v>101050001941406</v>
      </c>
      <c r="J3300" t="str">
        <f>"126485"</f>
        <v>126485</v>
      </c>
      <c r="K3300" t="s">
        <v>49</v>
      </c>
      <c r="L3300">
        <v>49</v>
      </c>
      <c r="M3300">
        <v>49</v>
      </c>
      <c r="N3300">
        <v>0</v>
      </c>
      <c r="O3300" s="1">
        <v>45581.498171296298</v>
      </c>
      <c r="P3300" t="s">
        <v>119</v>
      </c>
    </row>
    <row r="3301" spans="1:16" x14ac:dyDescent="0.3">
      <c r="A3301" t="s">
        <v>25</v>
      </c>
      <c r="B3301" s="1">
        <v>45581.49732638889</v>
      </c>
      <c r="C3301" t="str">
        <f>"38"</f>
        <v>38</v>
      </c>
      <c r="D3301" t="s">
        <v>115</v>
      </c>
      <c r="E3301" t="s">
        <v>116</v>
      </c>
      <c r="F3301" t="s">
        <v>117</v>
      </c>
      <c r="H3301" t="s">
        <v>846</v>
      </c>
      <c r="L3301">
        <v>0</v>
      </c>
      <c r="M3301">
        <v>0</v>
      </c>
      <c r="N3301">
        <v>0</v>
      </c>
      <c r="O3301" s="1">
        <v>45581.49732638889</v>
      </c>
      <c r="P3301" t="s">
        <v>119</v>
      </c>
    </row>
    <row r="3302" spans="1:16" x14ac:dyDescent="0.3">
      <c r="A3302" t="s">
        <v>25</v>
      </c>
      <c r="B3302" s="1">
        <v>45581.49732638889</v>
      </c>
      <c r="C3302" t="str">
        <f>"41"</f>
        <v>41</v>
      </c>
      <c r="D3302" t="s">
        <v>120</v>
      </c>
      <c r="E3302" t="s">
        <v>116</v>
      </c>
      <c r="F3302" t="s">
        <v>117</v>
      </c>
      <c r="H3302" t="s">
        <v>846</v>
      </c>
      <c r="I3302" t="str">
        <f>"101050001976899"</f>
        <v>101050001976899</v>
      </c>
      <c r="J3302" t="str">
        <f>"126475"</f>
        <v>126475</v>
      </c>
      <c r="K3302" t="s">
        <v>22</v>
      </c>
      <c r="L3302">
        <v>49</v>
      </c>
      <c r="M3302">
        <v>49</v>
      </c>
      <c r="N3302">
        <v>0</v>
      </c>
      <c r="O3302" s="1">
        <v>45581.49732638889</v>
      </c>
      <c r="P3302" t="s">
        <v>119</v>
      </c>
    </row>
    <row r="3303" spans="1:16" x14ac:dyDescent="0.3">
      <c r="A3303" t="s">
        <v>25</v>
      </c>
      <c r="B3303" s="1">
        <v>45581.496076388888</v>
      </c>
      <c r="C3303" t="str">
        <f>"38"</f>
        <v>38</v>
      </c>
      <c r="D3303" t="s">
        <v>115</v>
      </c>
      <c r="E3303" t="s">
        <v>116</v>
      </c>
      <c r="F3303" t="s">
        <v>117</v>
      </c>
      <c r="H3303" t="s">
        <v>847</v>
      </c>
      <c r="L3303">
        <v>0</v>
      </c>
      <c r="M3303">
        <v>0</v>
      </c>
      <c r="N3303">
        <v>0</v>
      </c>
      <c r="O3303" s="1">
        <v>45581.496076388888</v>
      </c>
      <c r="P3303" t="s">
        <v>119</v>
      </c>
    </row>
    <row r="3304" spans="1:16" x14ac:dyDescent="0.3">
      <c r="A3304" t="s">
        <v>25</v>
      </c>
      <c r="B3304" s="1">
        <v>45581.496076388888</v>
      </c>
      <c r="C3304" t="str">
        <f>"41"</f>
        <v>41</v>
      </c>
      <c r="D3304" t="s">
        <v>120</v>
      </c>
      <c r="E3304" t="s">
        <v>116</v>
      </c>
      <c r="F3304" t="s">
        <v>117</v>
      </c>
      <c r="H3304" t="s">
        <v>847</v>
      </c>
      <c r="I3304" t="str">
        <f>"101570001109081"</f>
        <v>101570001109081</v>
      </c>
      <c r="J3304" t="str">
        <f>"128715"</f>
        <v>128715</v>
      </c>
      <c r="K3304" t="s">
        <v>13</v>
      </c>
      <c r="L3304">
        <v>49</v>
      </c>
      <c r="M3304">
        <v>49</v>
      </c>
      <c r="N3304">
        <v>0</v>
      </c>
      <c r="O3304" s="1">
        <v>45581.496076388888</v>
      </c>
      <c r="P3304" t="s">
        <v>119</v>
      </c>
    </row>
    <row r="3305" spans="1:16" x14ac:dyDescent="0.3">
      <c r="A3305" t="s">
        <v>25</v>
      </c>
      <c r="B3305" s="1">
        <v>45581.495763888888</v>
      </c>
      <c r="C3305" t="str">
        <f>"38"</f>
        <v>38</v>
      </c>
      <c r="D3305" t="s">
        <v>115</v>
      </c>
      <c r="E3305" t="s">
        <v>116</v>
      </c>
      <c r="F3305" t="s">
        <v>117</v>
      </c>
      <c r="H3305" t="s">
        <v>848</v>
      </c>
      <c r="L3305">
        <v>0</v>
      </c>
      <c r="M3305">
        <v>0</v>
      </c>
      <c r="N3305">
        <v>0</v>
      </c>
      <c r="O3305" s="1">
        <v>45581.495763888888</v>
      </c>
      <c r="P3305" t="s">
        <v>119</v>
      </c>
    </row>
    <row r="3306" spans="1:16" x14ac:dyDescent="0.3">
      <c r="A3306" t="s">
        <v>25</v>
      </c>
      <c r="B3306" s="1">
        <v>45581.494618055556</v>
      </c>
      <c r="C3306" t="str">
        <f>"38"</f>
        <v>38</v>
      </c>
      <c r="D3306" t="s">
        <v>115</v>
      </c>
      <c r="E3306" t="s">
        <v>116</v>
      </c>
      <c r="F3306" t="s">
        <v>117</v>
      </c>
      <c r="H3306" t="s">
        <v>849</v>
      </c>
      <c r="L3306">
        <v>0</v>
      </c>
      <c r="M3306">
        <v>0</v>
      </c>
      <c r="N3306">
        <v>0</v>
      </c>
      <c r="O3306" s="1">
        <v>45581.494618055556</v>
      </c>
      <c r="P3306" t="s">
        <v>119</v>
      </c>
    </row>
    <row r="3307" spans="1:16" x14ac:dyDescent="0.3">
      <c r="A3307" t="s">
        <v>25</v>
      </c>
      <c r="B3307" s="1">
        <v>45581.494618055556</v>
      </c>
      <c r="C3307" t="str">
        <f t="shared" ref="C3307:C3313" si="611">"41"</f>
        <v>41</v>
      </c>
      <c r="D3307" t="s">
        <v>120</v>
      </c>
      <c r="E3307" t="s">
        <v>116</v>
      </c>
      <c r="F3307" t="s">
        <v>117</v>
      </c>
      <c r="H3307" t="s">
        <v>849</v>
      </c>
      <c r="I3307" t="str">
        <f>"101050002020256"</f>
        <v>101050002020256</v>
      </c>
      <c r="J3307" t="str">
        <f t="shared" ref="J3307:J3313" si="612">"127924"</f>
        <v>127924</v>
      </c>
      <c r="K3307" t="s">
        <v>3</v>
      </c>
      <c r="L3307">
        <v>49</v>
      </c>
      <c r="M3307">
        <v>49</v>
      </c>
      <c r="N3307">
        <v>0</v>
      </c>
      <c r="O3307" s="1">
        <v>45581.494618055556</v>
      </c>
      <c r="P3307" t="s">
        <v>119</v>
      </c>
    </row>
    <row r="3308" spans="1:16" x14ac:dyDescent="0.3">
      <c r="A3308" t="s">
        <v>25</v>
      </c>
      <c r="B3308" s="1">
        <v>45581.494618055556</v>
      </c>
      <c r="C3308" t="str">
        <f t="shared" si="611"/>
        <v>41</v>
      </c>
      <c r="D3308" t="s">
        <v>120</v>
      </c>
      <c r="E3308" t="s">
        <v>116</v>
      </c>
      <c r="F3308" t="s">
        <v>117</v>
      </c>
      <c r="H3308" t="s">
        <v>849</v>
      </c>
      <c r="I3308" t="str">
        <f>"101050002020083"</f>
        <v>101050002020083</v>
      </c>
      <c r="J3308" t="str">
        <f t="shared" si="612"/>
        <v>127924</v>
      </c>
      <c r="K3308" t="s">
        <v>3</v>
      </c>
      <c r="L3308">
        <v>49</v>
      </c>
      <c r="M3308">
        <v>49</v>
      </c>
      <c r="N3308">
        <v>0</v>
      </c>
      <c r="O3308" s="1">
        <v>45581.494618055556</v>
      </c>
      <c r="P3308" t="s">
        <v>119</v>
      </c>
    </row>
    <row r="3309" spans="1:16" x14ac:dyDescent="0.3">
      <c r="A3309" t="s">
        <v>25</v>
      </c>
      <c r="B3309" s="1">
        <v>45581.494606481479</v>
      </c>
      <c r="C3309" t="str">
        <f t="shared" si="611"/>
        <v>41</v>
      </c>
      <c r="D3309" t="s">
        <v>120</v>
      </c>
      <c r="E3309" t="s">
        <v>116</v>
      </c>
      <c r="F3309" t="s">
        <v>117</v>
      </c>
      <c r="H3309" t="s">
        <v>849</v>
      </c>
      <c r="I3309" t="str">
        <f>"101050002019385"</f>
        <v>101050002019385</v>
      </c>
      <c r="J3309" t="str">
        <f t="shared" si="612"/>
        <v>127924</v>
      </c>
      <c r="K3309" t="s">
        <v>3</v>
      </c>
      <c r="L3309">
        <v>49</v>
      </c>
      <c r="M3309">
        <v>49</v>
      </c>
      <c r="N3309">
        <v>0</v>
      </c>
      <c r="O3309" s="1">
        <v>45581.494606481479</v>
      </c>
      <c r="P3309" t="s">
        <v>119</v>
      </c>
    </row>
    <row r="3310" spans="1:16" x14ac:dyDescent="0.3">
      <c r="A3310" t="s">
        <v>25</v>
      </c>
      <c r="B3310" s="1">
        <v>45581.494606481479</v>
      </c>
      <c r="C3310" t="str">
        <f t="shared" si="611"/>
        <v>41</v>
      </c>
      <c r="D3310" t="s">
        <v>120</v>
      </c>
      <c r="E3310" t="s">
        <v>116</v>
      </c>
      <c r="F3310" t="s">
        <v>117</v>
      </c>
      <c r="H3310" t="s">
        <v>849</v>
      </c>
      <c r="I3310" t="str">
        <f>"101050002018765"</f>
        <v>101050002018765</v>
      </c>
      <c r="J3310" t="str">
        <f t="shared" si="612"/>
        <v>127924</v>
      </c>
      <c r="K3310" t="s">
        <v>3</v>
      </c>
      <c r="L3310">
        <v>49</v>
      </c>
      <c r="M3310">
        <v>49</v>
      </c>
      <c r="N3310">
        <v>0</v>
      </c>
      <c r="O3310" s="1">
        <v>45581.494606481479</v>
      </c>
      <c r="P3310" t="s">
        <v>119</v>
      </c>
    </row>
    <row r="3311" spans="1:16" x14ac:dyDescent="0.3">
      <c r="A3311" t="s">
        <v>25</v>
      </c>
      <c r="B3311" s="1">
        <v>45581.494606481479</v>
      </c>
      <c r="C3311" t="str">
        <f t="shared" si="611"/>
        <v>41</v>
      </c>
      <c r="D3311" t="s">
        <v>120</v>
      </c>
      <c r="E3311" t="s">
        <v>116</v>
      </c>
      <c r="F3311" t="s">
        <v>117</v>
      </c>
      <c r="H3311" t="s">
        <v>849</v>
      </c>
      <c r="I3311" t="str">
        <f>"101050002018639"</f>
        <v>101050002018639</v>
      </c>
      <c r="J3311" t="str">
        <f t="shared" si="612"/>
        <v>127924</v>
      </c>
      <c r="K3311" t="s">
        <v>3</v>
      </c>
      <c r="L3311">
        <v>49</v>
      </c>
      <c r="M3311">
        <v>49</v>
      </c>
      <c r="N3311">
        <v>0</v>
      </c>
      <c r="O3311" s="1">
        <v>45581.494606481479</v>
      </c>
      <c r="P3311" t="s">
        <v>119</v>
      </c>
    </row>
    <row r="3312" spans="1:16" x14ac:dyDescent="0.3">
      <c r="A3312" t="s">
        <v>25</v>
      </c>
      <c r="B3312" s="1">
        <v>45581.494606481479</v>
      </c>
      <c r="C3312" t="str">
        <f t="shared" si="611"/>
        <v>41</v>
      </c>
      <c r="D3312" t="s">
        <v>120</v>
      </c>
      <c r="E3312" t="s">
        <v>116</v>
      </c>
      <c r="F3312" t="s">
        <v>117</v>
      </c>
      <c r="H3312" t="s">
        <v>849</v>
      </c>
      <c r="I3312" t="str">
        <f>"101050002018763"</f>
        <v>101050002018763</v>
      </c>
      <c r="J3312" t="str">
        <f t="shared" si="612"/>
        <v>127924</v>
      </c>
      <c r="K3312" t="s">
        <v>3</v>
      </c>
      <c r="L3312">
        <v>49</v>
      </c>
      <c r="M3312">
        <v>49</v>
      </c>
      <c r="N3312">
        <v>0</v>
      </c>
      <c r="O3312" s="1">
        <v>45581.494606481479</v>
      </c>
      <c r="P3312" t="s">
        <v>119</v>
      </c>
    </row>
    <row r="3313" spans="1:16" x14ac:dyDescent="0.3">
      <c r="A3313" t="s">
        <v>25</v>
      </c>
      <c r="B3313" s="1">
        <v>45581.494606481479</v>
      </c>
      <c r="C3313" t="str">
        <f t="shared" si="611"/>
        <v>41</v>
      </c>
      <c r="D3313" t="s">
        <v>120</v>
      </c>
      <c r="E3313" t="s">
        <v>116</v>
      </c>
      <c r="F3313" t="s">
        <v>117</v>
      </c>
      <c r="H3313" t="s">
        <v>849</v>
      </c>
      <c r="I3313" t="str">
        <f>"101050002018764"</f>
        <v>101050002018764</v>
      </c>
      <c r="J3313" t="str">
        <f t="shared" si="612"/>
        <v>127924</v>
      </c>
      <c r="K3313" t="s">
        <v>3</v>
      </c>
      <c r="L3313">
        <v>49</v>
      </c>
      <c r="M3313">
        <v>49</v>
      </c>
      <c r="N3313">
        <v>0</v>
      </c>
      <c r="O3313" s="1">
        <v>45581.494606481479</v>
      </c>
      <c r="P3313" t="s">
        <v>119</v>
      </c>
    </row>
    <row r="3314" spans="1:16" x14ac:dyDescent="0.3">
      <c r="A3314" t="s">
        <v>25</v>
      </c>
      <c r="B3314" s="1">
        <v>45581.494479166664</v>
      </c>
      <c r="C3314" t="str">
        <f>"38"</f>
        <v>38</v>
      </c>
      <c r="D3314" t="s">
        <v>115</v>
      </c>
      <c r="E3314" t="s">
        <v>116</v>
      </c>
      <c r="F3314" t="s">
        <v>117</v>
      </c>
      <c r="H3314" t="s">
        <v>850</v>
      </c>
      <c r="L3314">
        <v>0</v>
      </c>
      <c r="M3314">
        <v>0</v>
      </c>
      <c r="N3314">
        <v>0</v>
      </c>
      <c r="O3314" s="1">
        <v>45581.494479166664</v>
      </c>
      <c r="P3314" t="s">
        <v>122</v>
      </c>
    </row>
    <row r="3315" spans="1:16" x14ac:dyDescent="0.3">
      <c r="A3315" t="s">
        <v>25</v>
      </c>
      <c r="B3315" s="1">
        <v>45581.494479166664</v>
      </c>
      <c r="C3315" t="str">
        <f>"41"</f>
        <v>41</v>
      </c>
      <c r="D3315" t="s">
        <v>120</v>
      </c>
      <c r="E3315" t="s">
        <v>116</v>
      </c>
      <c r="F3315" t="s">
        <v>117</v>
      </c>
      <c r="H3315" t="s">
        <v>850</v>
      </c>
      <c r="I3315" t="str">
        <f>"101050002020450"</f>
        <v>101050002020450</v>
      </c>
      <c r="J3315" t="str">
        <f>"514719"</f>
        <v>514719</v>
      </c>
      <c r="K3315" t="s">
        <v>0</v>
      </c>
      <c r="L3315">
        <v>49</v>
      </c>
      <c r="M3315">
        <v>49</v>
      </c>
      <c r="N3315">
        <v>0</v>
      </c>
      <c r="O3315" s="1">
        <v>45581.494479166664</v>
      </c>
      <c r="P3315" t="s">
        <v>122</v>
      </c>
    </row>
    <row r="3316" spans="1:16" x14ac:dyDescent="0.3">
      <c r="A3316" t="s">
        <v>25</v>
      </c>
      <c r="B3316" s="1">
        <v>45581.494479166664</v>
      </c>
      <c r="C3316" t="str">
        <f>"41"</f>
        <v>41</v>
      </c>
      <c r="D3316" t="s">
        <v>120</v>
      </c>
      <c r="E3316" t="s">
        <v>116</v>
      </c>
      <c r="F3316" t="s">
        <v>117</v>
      </c>
      <c r="H3316" t="s">
        <v>850</v>
      </c>
      <c r="I3316" t="str">
        <f>"101050002020138"</f>
        <v>101050002020138</v>
      </c>
      <c r="J3316" t="str">
        <f>"514719"</f>
        <v>514719</v>
      </c>
      <c r="K3316" t="s">
        <v>0</v>
      </c>
      <c r="L3316">
        <v>49</v>
      </c>
      <c r="M3316">
        <v>49</v>
      </c>
      <c r="N3316">
        <v>0</v>
      </c>
      <c r="O3316" s="1">
        <v>45581.494479166664</v>
      </c>
      <c r="P3316" t="s">
        <v>122</v>
      </c>
    </row>
    <row r="3317" spans="1:16" x14ac:dyDescent="0.3">
      <c r="A3317" t="s">
        <v>25</v>
      </c>
      <c r="B3317" s="1">
        <v>45581.494479166664</v>
      </c>
      <c r="C3317" t="str">
        <f>"41"</f>
        <v>41</v>
      </c>
      <c r="D3317" t="s">
        <v>120</v>
      </c>
      <c r="E3317" t="s">
        <v>116</v>
      </c>
      <c r="F3317" t="s">
        <v>117</v>
      </c>
      <c r="H3317" t="s">
        <v>850</v>
      </c>
      <c r="I3317" t="str">
        <f>"101050002020139"</f>
        <v>101050002020139</v>
      </c>
      <c r="J3317" t="str">
        <f>"514719"</f>
        <v>514719</v>
      </c>
      <c r="K3317" t="s">
        <v>0</v>
      </c>
      <c r="L3317">
        <v>49</v>
      </c>
      <c r="M3317">
        <v>49</v>
      </c>
      <c r="N3317">
        <v>0</v>
      </c>
      <c r="O3317" s="1">
        <v>45581.494479166664</v>
      </c>
      <c r="P3317" t="s">
        <v>122</v>
      </c>
    </row>
    <row r="3318" spans="1:16" x14ac:dyDescent="0.3">
      <c r="A3318" t="s">
        <v>25</v>
      </c>
      <c r="B3318" s="1">
        <v>45581.493217592593</v>
      </c>
      <c r="C3318" t="str">
        <f>"38"</f>
        <v>38</v>
      </c>
      <c r="D3318" t="s">
        <v>115</v>
      </c>
      <c r="E3318" t="s">
        <v>116</v>
      </c>
      <c r="F3318" t="s">
        <v>117</v>
      </c>
      <c r="H3318" t="s">
        <v>851</v>
      </c>
      <c r="L3318">
        <v>0</v>
      </c>
      <c r="M3318">
        <v>0</v>
      </c>
      <c r="N3318">
        <v>0</v>
      </c>
      <c r="O3318" s="1">
        <v>45581.493217592593</v>
      </c>
      <c r="P3318" t="s">
        <v>119</v>
      </c>
    </row>
    <row r="3319" spans="1:16" x14ac:dyDescent="0.3">
      <c r="A3319" t="s">
        <v>25</v>
      </c>
      <c r="B3319" s="1">
        <v>45581.493217592593</v>
      </c>
      <c r="C3319" t="str">
        <f t="shared" ref="C3319:C3325" si="613">"41"</f>
        <v>41</v>
      </c>
      <c r="D3319" t="s">
        <v>120</v>
      </c>
      <c r="E3319" t="s">
        <v>116</v>
      </c>
      <c r="F3319" t="s">
        <v>117</v>
      </c>
      <c r="H3319" t="s">
        <v>851</v>
      </c>
      <c r="I3319" t="str">
        <f>"101570001108629"</f>
        <v>101570001108629</v>
      </c>
      <c r="J3319" t="str">
        <f t="shared" ref="J3319:J3325" si="614">"48205"</f>
        <v>48205</v>
      </c>
      <c r="K3319" t="s">
        <v>20</v>
      </c>
      <c r="L3319">
        <v>49</v>
      </c>
      <c r="M3319">
        <v>49</v>
      </c>
      <c r="N3319">
        <v>0</v>
      </c>
      <c r="O3319" s="1">
        <v>45581.493217592593</v>
      </c>
      <c r="P3319" t="s">
        <v>119</v>
      </c>
    </row>
    <row r="3320" spans="1:16" x14ac:dyDescent="0.3">
      <c r="A3320" t="s">
        <v>25</v>
      </c>
      <c r="B3320" s="1">
        <v>45581.493217592593</v>
      </c>
      <c r="C3320" t="str">
        <f t="shared" si="613"/>
        <v>41</v>
      </c>
      <c r="D3320" t="s">
        <v>120</v>
      </c>
      <c r="E3320" t="s">
        <v>116</v>
      </c>
      <c r="F3320" t="s">
        <v>117</v>
      </c>
      <c r="H3320" t="s">
        <v>851</v>
      </c>
      <c r="I3320" t="str">
        <f>"101570001108626"</f>
        <v>101570001108626</v>
      </c>
      <c r="J3320" t="str">
        <f t="shared" si="614"/>
        <v>48205</v>
      </c>
      <c r="K3320" t="s">
        <v>20</v>
      </c>
      <c r="L3320">
        <v>49</v>
      </c>
      <c r="M3320">
        <v>49</v>
      </c>
      <c r="N3320">
        <v>0</v>
      </c>
      <c r="O3320" s="1">
        <v>45581.493217592593</v>
      </c>
      <c r="P3320" t="s">
        <v>119</v>
      </c>
    </row>
    <row r="3321" spans="1:16" x14ac:dyDescent="0.3">
      <c r="A3321" t="s">
        <v>25</v>
      </c>
      <c r="B3321" s="1">
        <v>45581.493217592593</v>
      </c>
      <c r="C3321" t="str">
        <f t="shared" si="613"/>
        <v>41</v>
      </c>
      <c r="D3321" t="s">
        <v>120</v>
      </c>
      <c r="E3321" t="s">
        <v>116</v>
      </c>
      <c r="F3321" t="s">
        <v>117</v>
      </c>
      <c r="H3321" t="s">
        <v>851</v>
      </c>
      <c r="I3321" t="str">
        <f>"101570001108555"</f>
        <v>101570001108555</v>
      </c>
      <c r="J3321" t="str">
        <f t="shared" si="614"/>
        <v>48205</v>
      </c>
      <c r="K3321" t="s">
        <v>20</v>
      </c>
      <c r="L3321">
        <v>49</v>
      </c>
      <c r="M3321">
        <v>49</v>
      </c>
      <c r="N3321">
        <v>0</v>
      </c>
      <c r="O3321" s="1">
        <v>45581.493217592593</v>
      </c>
      <c r="P3321" t="s">
        <v>119</v>
      </c>
    </row>
    <row r="3322" spans="1:16" x14ac:dyDescent="0.3">
      <c r="A3322" t="s">
        <v>25</v>
      </c>
      <c r="B3322" s="1">
        <v>45581.493217592593</v>
      </c>
      <c r="C3322" t="str">
        <f t="shared" si="613"/>
        <v>41</v>
      </c>
      <c r="D3322" t="s">
        <v>120</v>
      </c>
      <c r="E3322" t="s">
        <v>116</v>
      </c>
      <c r="F3322" t="s">
        <v>117</v>
      </c>
      <c r="H3322" t="s">
        <v>851</v>
      </c>
      <c r="I3322" t="str">
        <f>"101570001108558"</f>
        <v>101570001108558</v>
      </c>
      <c r="J3322" t="str">
        <f t="shared" si="614"/>
        <v>48205</v>
      </c>
      <c r="K3322" t="s">
        <v>20</v>
      </c>
      <c r="L3322">
        <v>49</v>
      </c>
      <c r="M3322">
        <v>49</v>
      </c>
      <c r="N3322">
        <v>0</v>
      </c>
      <c r="O3322" s="1">
        <v>45581.493217592593</v>
      </c>
      <c r="P3322" t="s">
        <v>119</v>
      </c>
    </row>
    <row r="3323" spans="1:16" x14ac:dyDescent="0.3">
      <c r="A3323" t="s">
        <v>25</v>
      </c>
      <c r="B3323" s="1">
        <v>45581.493217592593</v>
      </c>
      <c r="C3323" t="str">
        <f t="shared" si="613"/>
        <v>41</v>
      </c>
      <c r="D3323" t="s">
        <v>120</v>
      </c>
      <c r="E3323" t="s">
        <v>116</v>
      </c>
      <c r="F3323" t="s">
        <v>117</v>
      </c>
      <c r="H3323" t="s">
        <v>851</v>
      </c>
      <c r="I3323" t="str">
        <f>"101570001108671"</f>
        <v>101570001108671</v>
      </c>
      <c r="J3323" t="str">
        <f t="shared" si="614"/>
        <v>48205</v>
      </c>
      <c r="K3323" t="s">
        <v>20</v>
      </c>
      <c r="L3323">
        <v>49</v>
      </c>
      <c r="M3323">
        <v>49</v>
      </c>
      <c r="N3323">
        <v>0</v>
      </c>
      <c r="O3323" s="1">
        <v>45581.493217592593</v>
      </c>
      <c r="P3323" t="s">
        <v>119</v>
      </c>
    </row>
    <row r="3324" spans="1:16" x14ac:dyDescent="0.3">
      <c r="A3324" t="s">
        <v>25</v>
      </c>
      <c r="B3324" s="1">
        <v>45581.493217592593</v>
      </c>
      <c r="C3324" t="str">
        <f t="shared" si="613"/>
        <v>41</v>
      </c>
      <c r="D3324" t="s">
        <v>120</v>
      </c>
      <c r="E3324" t="s">
        <v>116</v>
      </c>
      <c r="F3324" t="s">
        <v>117</v>
      </c>
      <c r="H3324" t="s">
        <v>851</v>
      </c>
      <c r="I3324" t="str">
        <f>"101570001108584"</f>
        <v>101570001108584</v>
      </c>
      <c r="J3324" t="str">
        <f t="shared" si="614"/>
        <v>48205</v>
      </c>
      <c r="K3324" t="s">
        <v>20</v>
      </c>
      <c r="L3324">
        <v>49</v>
      </c>
      <c r="M3324">
        <v>49</v>
      </c>
      <c r="N3324">
        <v>0</v>
      </c>
      <c r="O3324" s="1">
        <v>45581.493217592593</v>
      </c>
      <c r="P3324" t="s">
        <v>119</v>
      </c>
    </row>
    <row r="3325" spans="1:16" x14ac:dyDescent="0.3">
      <c r="A3325" t="s">
        <v>25</v>
      </c>
      <c r="B3325" s="1">
        <v>45581.493217592593</v>
      </c>
      <c r="C3325" t="str">
        <f t="shared" si="613"/>
        <v>41</v>
      </c>
      <c r="D3325" t="s">
        <v>120</v>
      </c>
      <c r="E3325" t="s">
        <v>116</v>
      </c>
      <c r="F3325" t="s">
        <v>117</v>
      </c>
      <c r="H3325" t="s">
        <v>851</v>
      </c>
      <c r="I3325" t="str">
        <f>"101570001108628"</f>
        <v>101570001108628</v>
      </c>
      <c r="J3325" t="str">
        <f t="shared" si="614"/>
        <v>48205</v>
      </c>
      <c r="K3325" t="s">
        <v>20</v>
      </c>
      <c r="L3325">
        <v>49</v>
      </c>
      <c r="M3325">
        <v>49</v>
      </c>
      <c r="N3325">
        <v>0</v>
      </c>
      <c r="O3325" s="1">
        <v>45581.493217592593</v>
      </c>
      <c r="P3325" t="s">
        <v>119</v>
      </c>
    </row>
    <row r="3326" spans="1:16" x14ac:dyDescent="0.3">
      <c r="A3326" t="s">
        <v>25</v>
      </c>
      <c r="B3326" s="1">
        <v>45581.492627314816</v>
      </c>
      <c r="C3326" t="str">
        <f>"38"</f>
        <v>38</v>
      </c>
      <c r="D3326" t="s">
        <v>115</v>
      </c>
      <c r="E3326" t="s">
        <v>116</v>
      </c>
      <c r="F3326" t="s">
        <v>117</v>
      </c>
      <c r="H3326" t="s">
        <v>852</v>
      </c>
      <c r="L3326">
        <v>0</v>
      </c>
      <c r="M3326">
        <v>0</v>
      </c>
      <c r="N3326">
        <v>0</v>
      </c>
      <c r="O3326" s="1">
        <v>45581.492627314816</v>
      </c>
      <c r="P3326" t="s">
        <v>122</v>
      </c>
    </row>
    <row r="3327" spans="1:16" x14ac:dyDescent="0.3">
      <c r="A3327" t="s">
        <v>25</v>
      </c>
      <c r="B3327" s="1">
        <v>45581.492627314816</v>
      </c>
      <c r="C3327" t="str">
        <f>"41"</f>
        <v>41</v>
      </c>
      <c r="D3327" t="s">
        <v>120</v>
      </c>
      <c r="E3327" t="s">
        <v>116</v>
      </c>
      <c r="F3327" t="s">
        <v>117</v>
      </c>
      <c r="H3327" t="s">
        <v>852</v>
      </c>
      <c r="I3327" t="str">
        <f>"101620000466887"</f>
        <v>101620000466887</v>
      </c>
      <c r="J3327" t="str">
        <f>"514867"</f>
        <v>514867</v>
      </c>
      <c r="K3327" t="s">
        <v>16</v>
      </c>
      <c r="L3327">
        <v>49</v>
      </c>
      <c r="M3327">
        <v>49</v>
      </c>
      <c r="N3327">
        <v>0</v>
      </c>
      <c r="O3327" s="1">
        <v>45581.492627314816</v>
      </c>
      <c r="P3327" t="s">
        <v>122</v>
      </c>
    </row>
    <row r="3328" spans="1:16" x14ac:dyDescent="0.3">
      <c r="A3328" t="s">
        <v>25</v>
      </c>
      <c r="B3328" s="1">
        <v>45581.491747685184</v>
      </c>
      <c r="C3328" t="str">
        <f>"38"</f>
        <v>38</v>
      </c>
      <c r="D3328" t="s">
        <v>115</v>
      </c>
      <c r="E3328" t="s">
        <v>116</v>
      </c>
      <c r="F3328" t="s">
        <v>117</v>
      </c>
      <c r="H3328" t="s">
        <v>853</v>
      </c>
      <c r="L3328">
        <v>0</v>
      </c>
      <c r="M3328">
        <v>0</v>
      </c>
      <c r="N3328">
        <v>0</v>
      </c>
      <c r="O3328" s="1">
        <v>45581.491747685184</v>
      </c>
      <c r="P3328" t="s">
        <v>122</v>
      </c>
    </row>
    <row r="3329" spans="1:16" x14ac:dyDescent="0.3">
      <c r="A3329" t="s">
        <v>25</v>
      </c>
      <c r="B3329" s="1">
        <v>45581.491747685184</v>
      </c>
      <c r="C3329" t="str">
        <f t="shared" ref="C3329:C3335" si="615">"41"</f>
        <v>41</v>
      </c>
      <c r="D3329" t="s">
        <v>120</v>
      </c>
      <c r="E3329" t="s">
        <v>116</v>
      </c>
      <c r="F3329" t="s">
        <v>117</v>
      </c>
      <c r="H3329" t="s">
        <v>853</v>
      </c>
      <c r="I3329" t="str">
        <f>"101050002017761"</f>
        <v>101050002017761</v>
      </c>
      <c r="J3329" t="str">
        <f t="shared" ref="J3329:J3335" si="616">"514866"</f>
        <v>514866</v>
      </c>
      <c r="K3329" t="s">
        <v>14</v>
      </c>
      <c r="L3329">
        <v>49</v>
      </c>
      <c r="M3329">
        <v>49</v>
      </c>
      <c r="N3329">
        <v>0</v>
      </c>
      <c r="O3329" s="1">
        <v>45581.491747685184</v>
      </c>
      <c r="P3329" t="s">
        <v>122</v>
      </c>
    </row>
    <row r="3330" spans="1:16" x14ac:dyDescent="0.3">
      <c r="A3330" t="s">
        <v>25</v>
      </c>
      <c r="B3330" s="1">
        <v>45581.491747685184</v>
      </c>
      <c r="C3330" t="str">
        <f t="shared" si="615"/>
        <v>41</v>
      </c>
      <c r="D3330" t="s">
        <v>120</v>
      </c>
      <c r="E3330" t="s">
        <v>116</v>
      </c>
      <c r="F3330" t="s">
        <v>117</v>
      </c>
      <c r="H3330" t="s">
        <v>853</v>
      </c>
      <c r="I3330" t="str">
        <f>"101050002017758"</f>
        <v>101050002017758</v>
      </c>
      <c r="J3330" t="str">
        <f t="shared" si="616"/>
        <v>514866</v>
      </c>
      <c r="K3330" t="s">
        <v>14</v>
      </c>
      <c r="L3330">
        <v>49</v>
      </c>
      <c r="M3330">
        <v>49</v>
      </c>
      <c r="N3330">
        <v>0</v>
      </c>
      <c r="O3330" s="1">
        <v>45581.491747685184</v>
      </c>
      <c r="P3330" t="s">
        <v>122</v>
      </c>
    </row>
    <row r="3331" spans="1:16" x14ac:dyDescent="0.3">
      <c r="A3331" t="s">
        <v>25</v>
      </c>
      <c r="B3331" s="1">
        <v>45581.491747685184</v>
      </c>
      <c r="C3331" t="str">
        <f t="shared" si="615"/>
        <v>41</v>
      </c>
      <c r="D3331" t="s">
        <v>120</v>
      </c>
      <c r="E3331" t="s">
        <v>116</v>
      </c>
      <c r="F3331" t="s">
        <v>117</v>
      </c>
      <c r="H3331" t="s">
        <v>853</v>
      </c>
      <c r="I3331" t="str">
        <f>"101050002017281"</f>
        <v>101050002017281</v>
      </c>
      <c r="J3331" t="str">
        <f t="shared" si="616"/>
        <v>514866</v>
      </c>
      <c r="K3331" t="s">
        <v>14</v>
      </c>
      <c r="L3331">
        <v>49</v>
      </c>
      <c r="M3331">
        <v>49</v>
      </c>
      <c r="N3331">
        <v>0</v>
      </c>
      <c r="O3331" s="1">
        <v>45581.491747685184</v>
      </c>
      <c r="P3331" t="s">
        <v>122</v>
      </c>
    </row>
    <row r="3332" spans="1:16" x14ac:dyDescent="0.3">
      <c r="A3332" t="s">
        <v>25</v>
      </c>
      <c r="B3332" s="1">
        <v>45581.491747685184</v>
      </c>
      <c r="C3332" t="str">
        <f t="shared" si="615"/>
        <v>41</v>
      </c>
      <c r="D3332" t="s">
        <v>120</v>
      </c>
      <c r="E3332" t="s">
        <v>116</v>
      </c>
      <c r="F3332" t="s">
        <v>117</v>
      </c>
      <c r="H3332" t="s">
        <v>853</v>
      </c>
      <c r="I3332" t="str">
        <f>"101050002017579"</f>
        <v>101050002017579</v>
      </c>
      <c r="J3332" t="str">
        <f t="shared" si="616"/>
        <v>514866</v>
      </c>
      <c r="K3332" t="s">
        <v>14</v>
      </c>
      <c r="L3332">
        <v>49</v>
      </c>
      <c r="M3332">
        <v>49</v>
      </c>
      <c r="N3332">
        <v>0</v>
      </c>
      <c r="O3332" s="1">
        <v>45581.491747685184</v>
      </c>
      <c r="P3332" t="s">
        <v>122</v>
      </c>
    </row>
    <row r="3333" spans="1:16" x14ac:dyDescent="0.3">
      <c r="A3333" t="s">
        <v>25</v>
      </c>
      <c r="B3333" s="1">
        <v>45581.491747685184</v>
      </c>
      <c r="C3333" t="str">
        <f t="shared" si="615"/>
        <v>41</v>
      </c>
      <c r="D3333" t="s">
        <v>120</v>
      </c>
      <c r="E3333" t="s">
        <v>116</v>
      </c>
      <c r="F3333" t="s">
        <v>117</v>
      </c>
      <c r="H3333" t="s">
        <v>853</v>
      </c>
      <c r="I3333" t="str">
        <f>"101050002017294"</f>
        <v>101050002017294</v>
      </c>
      <c r="J3333" t="str">
        <f t="shared" si="616"/>
        <v>514866</v>
      </c>
      <c r="K3333" t="s">
        <v>14</v>
      </c>
      <c r="L3333">
        <v>49</v>
      </c>
      <c r="M3333">
        <v>49</v>
      </c>
      <c r="N3333">
        <v>0</v>
      </c>
      <c r="O3333" s="1">
        <v>45581.491747685184</v>
      </c>
      <c r="P3333" t="s">
        <v>122</v>
      </c>
    </row>
    <row r="3334" spans="1:16" x14ac:dyDescent="0.3">
      <c r="A3334" t="s">
        <v>25</v>
      </c>
      <c r="B3334" s="1">
        <v>45581.491747685184</v>
      </c>
      <c r="C3334" t="str">
        <f t="shared" si="615"/>
        <v>41</v>
      </c>
      <c r="D3334" t="s">
        <v>120</v>
      </c>
      <c r="E3334" t="s">
        <v>116</v>
      </c>
      <c r="F3334" t="s">
        <v>117</v>
      </c>
      <c r="H3334" t="s">
        <v>853</v>
      </c>
      <c r="I3334" t="str">
        <f>"101620000457961"</f>
        <v>101620000457961</v>
      </c>
      <c r="J3334" t="str">
        <f t="shared" si="616"/>
        <v>514866</v>
      </c>
      <c r="K3334" t="s">
        <v>14</v>
      </c>
      <c r="L3334">
        <v>49</v>
      </c>
      <c r="M3334">
        <v>49</v>
      </c>
      <c r="N3334">
        <v>0</v>
      </c>
      <c r="O3334" s="1">
        <v>45581.491747685184</v>
      </c>
      <c r="P3334" t="s">
        <v>122</v>
      </c>
    </row>
    <row r="3335" spans="1:16" x14ac:dyDescent="0.3">
      <c r="A3335" t="s">
        <v>25</v>
      </c>
      <c r="B3335" s="1">
        <v>45581.491736111115</v>
      </c>
      <c r="C3335" t="str">
        <f t="shared" si="615"/>
        <v>41</v>
      </c>
      <c r="D3335" t="s">
        <v>120</v>
      </c>
      <c r="E3335" t="s">
        <v>116</v>
      </c>
      <c r="F3335" t="s">
        <v>117</v>
      </c>
      <c r="H3335" t="s">
        <v>853</v>
      </c>
      <c r="I3335" t="str">
        <f>"101620000457943"</f>
        <v>101620000457943</v>
      </c>
      <c r="J3335" t="str">
        <f t="shared" si="616"/>
        <v>514866</v>
      </c>
      <c r="K3335" t="s">
        <v>14</v>
      </c>
      <c r="L3335">
        <v>49</v>
      </c>
      <c r="M3335">
        <v>49</v>
      </c>
      <c r="N3335">
        <v>0</v>
      </c>
      <c r="O3335" s="1">
        <v>45581.491736111115</v>
      </c>
      <c r="P3335" t="s">
        <v>122</v>
      </c>
    </row>
    <row r="3336" spans="1:16" x14ac:dyDescent="0.3">
      <c r="A3336" t="s">
        <v>25</v>
      </c>
      <c r="B3336" s="1">
        <v>45581.490416666667</v>
      </c>
      <c r="C3336" t="str">
        <f>"38"</f>
        <v>38</v>
      </c>
      <c r="D3336" t="s">
        <v>115</v>
      </c>
      <c r="E3336" t="s">
        <v>116</v>
      </c>
      <c r="F3336" t="s">
        <v>117</v>
      </c>
      <c r="H3336" t="s">
        <v>854</v>
      </c>
      <c r="L3336">
        <v>0</v>
      </c>
      <c r="M3336">
        <v>0</v>
      </c>
      <c r="N3336">
        <v>0</v>
      </c>
      <c r="O3336" s="1">
        <v>45581.490416666667</v>
      </c>
      <c r="P3336" t="s">
        <v>119</v>
      </c>
    </row>
    <row r="3337" spans="1:16" x14ac:dyDescent="0.3">
      <c r="A3337" t="s">
        <v>25</v>
      </c>
      <c r="B3337" s="1">
        <v>45581.490335648145</v>
      </c>
      <c r="C3337" t="str">
        <f>"38"</f>
        <v>38</v>
      </c>
      <c r="D3337" t="s">
        <v>115</v>
      </c>
      <c r="E3337" t="s">
        <v>116</v>
      </c>
      <c r="F3337" t="s">
        <v>117</v>
      </c>
      <c r="H3337" t="s">
        <v>854</v>
      </c>
      <c r="L3337">
        <v>0</v>
      </c>
      <c r="M3337">
        <v>0</v>
      </c>
      <c r="N3337">
        <v>0</v>
      </c>
      <c r="O3337" s="1">
        <v>45581.490335648145</v>
      </c>
      <c r="P3337" t="s">
        <v>119</v>
      </c>
    </row>
    <row r="3338" spans="1:16" x14ac:dyDescent="0.3">
      <c r="A3338" t="s">
        <v>25</v>
      </c>
      <c r="B3338" s="1">
        <v>45581.490231481483</v>
      </c>
      <c r="C3338" t="str">
        <f>"38"</f>
        <v>38</v>
      </c>
      <c r="D3338" t="s">
        <v>115</v>
      </c>
      <c r="E3338" t="s">
        <v>116</v>
      </c>
      <c r="F3338" t="s">
        <v>117</v>
      </c>
      <c r="H3338" t="s">
        <v>855</v>
      </c>
      <c r="L3338">
        <v>0</v>
      </c>
      <c r="M3338">
        <v>0</v>
      </c>
      <c r="N3338">
        <v>0</v>
      </c>
      <c r="O3338" s="1">
        <v>45581.490231481483</v>
      </c>
      <c r="P3338" t="s">
        <v>119</v>
      </c>
    </row>
    <row r="3339" spans="1:16" x14ac:dyDescent="0.3">
      <c r="A3339" t="s">
        <v>25</v>
      </c>
      <c r="B3339" s="1">
        <v>45581.490231481483</v>
      </c>
      <c r="C3339" t="str">
        <f t="shared" ref="C3339:C3345" si="617">"41"</f>
        <v>41</v>
      </c>
      <c r="D3339" t="s">
        <v>120</v>
      </c>
      <c r="E3339" t="s">
        <v>116</v>
      </c>
      <c r="F3339" t="s">
        <v>117</v>
      </c>
      <c r="H3339" t="s">
        <v>855</v>
      </c>
      <c r="I3339" t="str">
        <f>"101050002007732"</f>
        <v>101050002007732</v>
      </c>
      <c r="J3339" t="str">
        <f t="shared" ref="J3339:J3345" si="618">"31090"</f>
        <v>31090</v>
      </c>
      <c r="K3339" t="s">
        <v>76</v>
      </c>
      <c r="L3339">
        <v>49</v>
      </c>
      <c r="M3339">
        <v>49</v>
      </c>
      <c r="N3339">
        <v>0</v>
      </c>
      <c r="O3339" s="1">
        <v>45581.490231481483</v>
      </c>
      <c r="P3339" t="s">
        <v>119</v>
      </c>
    </row>
    <row r="3340" spans="1:16" x14ac:dyDescent="0.3">
      <c r="A3340" t="s">
        <v>25</v>
      </c>
      <c r="B3340" s="1">
        <v>45581.490231481483</v>
      </c>
      <c r="C3340" t="str">
        <f t="shared" si="617"/>
        <v>41</v>
      </c>
      <c r="D3340" t="s">
        <v>120</v>
      </c>
      <c r="E3340" t="s">
        <v>116</v>
      </c>
      <c r="F3340" t="s">
        <v>117</v>
      </c>
      <c r="H3340" t="s">
        <v>855</v>
      </c>
      <c r="I3340" t="str">
        <f>"101050002008018"</f>
        <v>101050002008018</v>
      </c>
      <c r="J3340" t="str">
        <f t="shared" si="618"/>
        <v>31090</v>
      </c>
      <c r="K3340" t="s">
        <v>76</v>
      </c>
      <c r="L3340">
        <v>49</v>
      </c>
      <c r="M3340">
        <v>49</v>
      </c>
      <c r="N3340">
        <v>0</v>
      </c>
      <c r="O3340" s="1">
        <v>45581.490231481483</v>
      </c>
      <c r="P3340" t="s">
        <v>119</v>
      </c>
    </row>
    <row r="3341" spans="1:16" x14ac:dyDescent="0.3">
      <c r="A3341" t="s">
        <v>25</v>
      </c>
      <c r="B3341" s="1">
        <v>45581.490231481483</v>
      </c>
      <c r="C3341" t="str">
        <f t="shared" si="617"/>
        <v>41</v>
      </c>
      <c r="D3341" t="s">
        <v>120</v>
      </c>
      <c r="E3341" t="s">
        <v>116</v>
      </c>
      <c r="F3341" t="s">
        <v>117</v>
      </c>
      <c r="H3341" t="s">
        <v>855</v>
      </c>
      <c r="I3341" t="str">
        <f>"101050002007733"</f>
        <v>101050002007733</v>
      </c>
      <c r="J3341" t="str">
        <f t="shared" si="618"/>
        <v>31090</v>
      </c>
      <c r="K3341" t="s">
        <v>76</v>
      </c>
      <c r="L3341">
        <v>49</v>
      </c>
      <c r="M3341">
        <v>49</v>
      </c>
      <c r="N3341">
        <v>0</v>
      </c>
      <c r="O3341" s="1">
        <v>45581.490231481483</v>
      </c>
      <c r="P3341" t="s">
        <v>119</v>
      </c>
    </row>
    <row r="3342" spans="1:16" x14ac:dyDescent="0.3">
      <c r="A3342" t="s">
        <v>25</v>
      </c>
      <c r="B3342" s="1">
        <v>45581.490219907406</v>
      </c>
      <c r="C3342" t="str">
        <f t="shared" si="617"/>
        <v>41</v>
      </c>
      <c r="D3342" t="s">
        <v>120</v>
      </c>
      <c r="E3342" t="s">
        <v>116</v>
      </c>
      <c r="F3342" t="s">
        <v>117</v>
      </c>
      <c r="H3342" t="s">
        <v>855</v>
      </c>
      <c r="I3342" t="str">
        <f>"101050002008508"</f>
        <v>101050002008508</v>
      </c>
      <c r="J3342" t="str">
        <f t="shared" si="618"/>
        <v>31090</v>
      </c>
      <c r="K3342" t="s">
        <v>76</v>
      </c>
      <c r="L3342">
        <v>49</v>
      </c>
      <c r="M3342">
        <v>49</v>
      </c>
      <c r="N3342">
        <v>0</v>
      </c>
      <c r="O3342" s="1">
        <v>45581.490219907406</v>
      </c>
      <c r="P3342" t="s">
        <v>119</v>
      </c>
    </row>
    <row r="3343" spans="1:16" x14ac:dyDescent="0.3">
      <c r="A3343" t="s">
        <v>25</v>
      </c>
      <c r="B3343" s="1">
        <v>45581.490219907406</v>
      </c>
      <c r="C3343" t="str">
        <f t="shared" si="617"/>
        <v>41</v>
      </c>
      <c r="D3343" t="s">
        <v>120</v>
      </c>
      <c r="E3343" t="s">
        <v>116</v>
      </c>
      <c r="F3343" t="s">
        <v>117</v>
      </c>
      <c r="H3343" t="s">
        <v>855</v>
      </c>
      <c r="I3343" t="str">
        <f>"101050002008653"</f>
        <v>101050002008653</v>
      </c>
      <c r="J3343" t="str">
        <f t="shared" si="618"/>
        <v>31090</v>
      </c>
      <c r="K3343" t="s">
        <v>76</v>
      </c>
      <c r="L3343">
        <v>49</v>
      </c>
      <c r="M3343">
        <v>49</v>
      </c>
      <c r="N3343">
        <v>0</v>
      </c>
      <c r="O3343" s="1">
        <v>45581.490219907406</v>
      </c>
      <c r="P3343" t="s">
        <v>119</v>
      </c>
    </row>
    <row r="3344" spans="1:16" x14ac:dyDescent="0.3">
      <c r="A3344" t="s">
        <v>25</v>
      </c>
      <c r="B3344" s="1">
        <v>45581.490219907406</v>
      </c>
      <c r="C3344" t="str">
        <f t="shared" si="617"/>
        <v>41</v>
      </c>
      <c r="D3344" t="s">
        <v>120</v>
      </c>
      <c r="E3344" t="s">
        <v>116</v>
      </c>
      <c r="F3344" t="s">
        <v>117</v>
      </c>
      <c r="H3344" t="s">
        <v>855</v>
      </c>
      <c r="I3344" t="str">
        <f>"101050002008019"</f>
        <v>101050002008019</v>
      </c>
      <c r="J3344" t="str">
        <f t="shared" si="618"/>
        <v>31090</v>
      </c>
      <c r="K3344" t="s">
        <v>76</v>
      </c>
      <c r="L3344">
        <v>49</v>
      </c>
      <c r="M3344">
        <v>49</v>
      </c>
      <c r="N3344">
        <v>0</v>
      </c>
      <c r="O3344" s="1">
        <v>45581.490219907406</v>
      </c>
      <c r="P3344" t="s">
        <v>119</v>
      </c>
    </row>
    <row r="3345" spans="1:16" x14ac:dyDescent="0.3">
      <c r="A3345" t="s">
        <v>25</v>
      </c>
      <c r="B3345" s="1">
        <v>45581.490219907406</v>
      </c>
      <c r="C3345" t="str">
        <f t="shared" si="617"/>
        <v>41</v>
      </c>
      <c r="D3345" t="s">
        <v>120</v>
      </c>
      <c r="E3345" t="s">
        <v>116</v>
      </c>
      <c r="F3345" t="s">
        <v>117</v>
      </c>
      <c r="H3345" t="s">
        <v>855</v>
      </c>
      <c r="I3345" t="str">
        <f>"101050002008316"</f>
        <v>101050002008316</v>
      </c>
      <c r="J3345" t="str">
        <f t="shared" si="618"/>
        <v>31090</v>
      </c>
      <c r="K3345" t="s">
        <v>76</v>
      </c>
      <c r="L3345">
        <v>49</v>
      </c>
      <c r="M3345">
        <v>49</v>
      </c>
      <c r="N3345">
        <v>0</v>
      </c>
      <c r="O3345" s="1">
        <v>45581.490219907406</v>
      </c>
      <c r="P3345" t="s">
        <v>119</v>
      </c>
    </row>
    <row r="3346" spans="1:16" x14ac:dyDescent="0.3">
      <c r="A3346" t="s">
        <v>25</v>
      </c>
      <c r="B3346" s="1">
        <v>45581.482453703706</v>
      </c>
      <c r="C3346" t="str">
        <f>"38"</f>
        <v>38</v>
      </c>
      <c r="D3346" t="s">
        <v>115</v>
      </c>
      <c r="E3346" t="s">
        <v>116</v>
      </c>
      <c r="F3346" t="s">
        <v>117</v>
      </c>
      <c r="H3346" t="s">
        <v>581</v>
      </c>
      <c r="L3346">
        <v>0</v>
      </c>
      <c r="M3346">
        <v>0</v>
      </c>
      <c r="N3346">
        <v>0</v>
      </c>
      <c r="O3346" s="1">
        <v>45581.482453703706</v>
      </c>
      <c r="P3346" t="s">
        <v>122</v>
      </c>
    </row>
    <row r="3347" spans="1:16" x14ac:dyDescent="0.3">
      <c r="A3347" t="s">
        <v>25</v>
      </c>
      <c r="B3347" s="1">
        <v>45581.482453703706</v>
      </c>
      <c r="C3347" t="str">
        <f t="shared" ref="C3347:C3352" si="619">"41"</f>
        <v>41</v>
      </c>
      <c r="D3347" t="s">
        <v>120</v>
      </c>
      <c r="E3347" t="s">
        <v>116</v>
      </c>
      <c r="F3347" t="s">
        <v>117</v>
      </c>
      <c r="H3347" t="s">
        <v>581</v>
      </c>
      <c r="I3347" t="str">
        <f>"101050002016666"</f>
        <v>101050002016666</v>
      </c>
      <c r="J3347" t="str">
        <f t="shared" ref="J3347:J3352" si="620">"514846"</f>
        <v>514846</v>
      </c>
      <c r="K3347" t="s">
        <v>18</v>
      </c>
      <c r="L3347">
        <v>49</v>
      </c>
      <c r="M3347">
        <v>49</v>
      </c>
      <c r="N3347">
        <v>0</v>
      </c>
      <c r="O3347" s="1">
        <v>45581.482453703706</v>
      </c>
      <c r="P3347" t="s">
        <v>122</v>
      </c>
    </row>
    <row r="3348" spans="1:16" x14ac:dyDescent="0.3">
      <c r="A3348" t="s">
        <v>25</v>
      </c>
      <c r="B3348" s="1">
        <v>45581.482453703706</v>
      </c>
      <c r="C3348" t="str">
        <f t="shared" si="619"/>
        <v>41</v>
      </c>
      <c r="D3348" t="s">
        <v>120</v>
      </c>
      <c r="E3348" t="s">
        <v>116</v>
      </c>
      <c r="F3348" t="s">
        <v>117</v>
      </c>
      <c r="H3348" t="s">
        <v>581</v>
      </c>
      <c r="I3348" t="str">
        <f>"101050001998477"</f>
        <v>101050001998477</v>
      </c>
      <c r="J3348" t="str">
        <f t="shared" si="620"/>
        <v>514846</v>
      </c>
      <c r="K3348" t="s">
        <v>18</v>
      </c>
      <c r="L3348">
        <v>49</v>
      </c>
      <c r="M3348">
        <v>49</v>
      </c>
      <c r="N3348">
        <v>0</v>
      </c>
      <c r="O3348" s="1">
        <v>45581.482453703706</v>
      </c>
      <c r="P3348" t="s">
        <v>122</v>
      </c>
    </row>
    <row r="3349" spans="1:16" x14ac:dyDescent="0.3">
      <c r="A3349" t="s">
        <v>25</v>
      </c>
      <c r="B3349" s="1">
        <v>45581.482453703706</v>
      </c>
      <c r="C3349" t="str">
        <f t="shared" si="619"/>
        <v>41</v>
      </c>
      <c r="D3349" t="s">
        <v>120</v>
      </c>
      <c r="E3349" t="s">
        <v>116</v>
      </c>
      <c r="F3349" t="s">
        <v>117</v>
      </c>
      <c r="H3349" t="s">
        <v>581</v>
      </c>
      <c r="I3349" t="str">
        <f>"101050001998473"</f>
        <v>101050001998473</v>
      </c>
      <c r="J3349" t="str">
        <f t="shared" si="620"/>
        <v>514846</v>
      </c>
      <c r="K3349" t="s">
        <v>18</v>
      </c>
      <c r="L3349">
        <v>49</v>
      </c>
      <c r="M3349">
        <v>49</v>
      </c>
      <c r="N3349">
        <v>0</v>
      </c>
      <c r="O3349" s="1">
        <v>45581.482453703706</v>
      </c>
      <c r="P3349" t="s">
        <v>122</v>
      </c>
    </row>
    <row r="3350" spans="1:16" x14ac:dyDescent="0.3">
      <c r="A3350" t="s">
        <v>25</v>
      </c>
      <c r="B3350" s="1">
        <v>45581.482453703706</v>
      </c>
      <c r="C3350" t="str">
        <f t="shared" si="619"/>
        <v>41</v>
      </c>
      <c r="D3350" t="s">
        <v>120</v>
      </c>
      <c r="E3350" t="s">
        <v>116</v>
      </c>
      <c r="F3350" t="s">
        <v>117</v>
      </c>
      <c r="H3350" t="s">
        <v>581</v>
      </c>
      <c r="I3350" t="str">
        <f>"101050001998474"</f>
        <v>101050001998474</v>
      </c>
      <c r="J3350" t="str">
        <f t="shared" si="620"/>
        <v>514846</v>
      </c>
      <c r="K3350" t="s">
        <v>18</v>
      </c>
      <c r="L3350">
        <v>49</v>
      </c>
      <c r="M3350">
        <v>49</v>
      </c>
      <c r="N3350">
        <v>0</v>
      </c>
      <c r="O3350" s="1">
        <v>45581.482453703706</v>
      </c>
      <c r="P3350" t="s">
        <v>122</v>
      </c>
    </row>
    <row r="3351" spans="1:16" x14ac:dyDescent="0.3">
      <c r="A3351" t="s">
        <v>25</v>
      </c>
      <c r="B3351" s="1">
        <v>45581.482453703706</v>
      </c>
      <c r="C3351" t="str">
        <f t="shared" si="619"/>
        <v>41</v>
      </c>
      <c r="D3351" t="s">
        <v>120</v>
      </c>
      <c r="E3351" t="s">
        <v>116</v>
      </c>
      <c r="F3351" t="s">
        <v>117</v>
      </c>
      <c r="H3351" t="s">
        <v>581</v>
      </c>
      <c r="I3351" t="str">
        <f>"101050001998475"</f>
        <v>101050001998475</v>
      </c>
      <c r="J3351" t="str">
        <f t="shared" si="620"/>
        <v>514846</v>
      </c>
      <c r="K3351" t="s">
        <v>18</v>
      </c>
      <c r="L3351">
        <v>49</v>
      </c>
      <c r="M3351">
        <v>49</v>
      </c>
      <c r="N3351">
        <v>0</v>
      </c>
      <c r="O3351" s="1">
        <v>45581.482453703706</v>
      </c>
      <c r="P3351" t="s">
        <v>122</v>
      </c>
    </row>
    <row r="3352" spans="1:16" x14ac:dyDescent="0.3">
      <c r="A3352" t="s">
        <v>25</v>
      </c>
      <c r="B3352" s="1">
        <v>45581.482442129629</v>
      </c>
      <c r="C3352" t="str">
        <f t="shared" si="619"/>
        <v>41</v>
      </c>
      <c r="D3352" t="s">
        <v>120</v>
      </c>
      <c r="E3352" t="s">
        <v>116</v>
      </c>
      <c r="F3352" t="s">
        <v>117</v>
      </c>
      <c r="H3352" t="s">
        <v>581</v>
      </c>
      <c r="I3352" t="str">
        <f>"101050001998711"</f>
        <v>101050001998711</v>
      </c>
      <c r="J3352" t="str">
        <f t="shared" si="620"/>
        <v>514846</v>
      </c>
      <c r="K3352" t="s">
        <v>18</v>
      </c>
      <c r="L3352">
        <v>49</v>
      </c>
      <c r="M3352">
        <v>49</v>
      </c>
      <c r="N3352">
        <v>0</v>
      </c>
      <c r="O3352" s="1">
        <v>45581.482442129629</v>
      </c>
      <c r="P3352" t="s">
        <v>122</v>
      </c>
    </row>
    <row r="3353" spans="1:16" x14ac:dyDescent="0.3">
      <c r="A3353" t="s">
        <v>25</v>
      </c>
      <c r="B3353" s="1">
        <v>45581.480636574073</v>
      </c>
      <c r="C3353" t="str">
        <f>"38"</f>
        <v>38</v>
      </c>
      <c r="D3353" t="s">
        <v>115</v>
      </c>
      <c r="E3353" t="s">
        <v>116</v>
      </c>
      <c r="F3353" t="s">
        <v>117</v>
      </c>
      <c r="H3353" t="s">
        <v>856</v>
      </c>
      <c r="L3353">
        <v>0</v>
      </c>
      <c r="M3353">
        <v>0</v>
      </c>
      <c r="N3353">
        <v>0</v>
      </c>
      <c r="O3353" s="1">
        <v>45581.480636574073</v>
      </c>
      <c r="P3353" t="s">
        <v>392</v>
      </c>
    </row>
    <row r="3354" spans="1:16" x14ac:dyDescent="0.3">
      <c r="A3354" t="s">
        <v>25</v>
      </c>
      <c r="B3354" s="1">
        <v>45581.480636574073</v>
      </c>
      <c r="C3354" t="str">
        <f>"41"</f>
        <v>41</v>
      </c>
      <c r="D3354" t="s">
        <v>120</v>
      </c>
      <c r="E3354" t="s">
        <v>116</v>
      </c>
      <c r="F3354" t="s">
        <v>117</v>
      </c>
      <c r="H3354" t="s">
        <v>856</v>
      </c>
      <c r="I3354" t="str">
        <f>"101050001991582"</f>
        <v>101050001991582</v>
      </c>
      <c r="J3354" t="str">
        <f>"124616"</f>
        <v>124616</v>
      </c>
      <c r="K3354" t="s">
        <v>34</v>
      </c>
      <c r="L3354">
        <v>49</v>
      </c>
      <c r="M3354">
        <v>49</v>
      </c>
      <c r="N3354">
        <v>0</v>
      </c>
      <c r="O3354" s="1">
        <v>45581.480636574073</v>
      </c>
      <c r="P3354" t="s">
        <v>392</v>
      </c>
    </row>
    <row r="3355" spans="1:16" x14ac:dyDescent="0.3">
      <c r="A3355" t="s">
        <v>25</v>
      </c>
      <c r="B3355" s="1">
        <v>45581.474374999998</v>
      </c>
      <c r="C3355" t="str">
        <f>"38"</f>
        <v>38</v>
      </c>
      <c r="D3355" t="s">
        <v>115</v>
      </c>
      <c r="E3355" t="s">
        <v>116</v>
      </c>
      <c r="F3355" t="s">
        <v>117</v>
      </c>
      <c r="H3355" t="s">
        <v>857</v>
      </c>
      <c r="L3355">
        <v>0</v>
      </c>
      <c r="M3355">
        <v>0</v>
      </c>
      <c r="N3355">
        <v>0</v>
      </c>
      <c r="O3355" s="1">
        <v>45581.474374999998</v>
      </c>
      <c r="P3355" t="s">
        <v>138</v>
      </c>
    </row>
    <row r="3356" spans="1:16" x14ac:dyDescent="0.3">
      <c r="A3356" t="s">
        <v>25</v>
      </c>
      <c r="B3356" s="1">
        <v>45581.474270833336</v>
      </c>
      <c r="C3356" t="str">
        <f>"38"</f>
        <v>38</v>
      </c>
      <c r="D3356" t="s">
        <v>115</v>
      </c>
      <c r="E3356" t="s">
        <v>116</v>
      </c>
      <c r="F3356" t="s">
        <v>117</v>
      </c>
      <c r="H3356" t="s">
        <v>858</v>
      </c>
      <c r="L3356">
        <v>0</v>
      </c>
      <c r="M3356">
        <v>0</v>
      </c>
      <c r="N3356">
        <v>0</v>
      </c>
      <c r="O3356" s="1">
        <v>45581.474270833336</v>
      </c>
      <c r="P3356" t="s">
        <v>138</v>
      </c>
    </row>
    <row r="3357" spans="1:16" x14ac:dyDescent="0.3">
      <c r="A3357" t="s">
        <v>25</v>
      </c>
      <c r="B3357" s="1">
        <v>45581.474270833336</v>
      </c>
      <c r="C3357" t="str">
        <f>"41"</f>
        <v>41</v>
      </c>
      <c r="D3357" t="s">
        <v>120</v>
      </c>
      <c r="E3357" t="s">
        <v>116</v>
      </c>
      <c r="F3357" t="s">
        <v>117</v>
      </c>
      <c r="H3357" t="s">
        <v>858</v>
      </c>
      <c r="I3357" t="str">
        <f>"101050002014772"</f>
        <v>101050002014772</v>
      </c>
      <c r="J3357" t="str">
        <f>"31090"</f>
        <v>31090</v>
      </c>
      <c r="K3357" t="s">
        <v>76</v>
      </c>
      <c r="L3357">
        <v>49</v>
      </c>
      <c r="M3357">
        <v>49</v>
      </c>
      <c r="N3357">
        <v>0</v>
      </c>
      <c r="O3357" s="1">
        <v>45581.474270833336</v>
      </c>
      <c r="P3357" t="s">
        <v>138</v>
      </c>
    </row>
    <row r="3358" spans="1:16" x14ac:dyDescent="0.3">
      <c r="A3358" t="s">
        <v>25</v>
      </c>
      <c r="B3358" s="1">
        <v>45581.474270833336</v>
      </c>
      <c r="C3358" t="str">
        <f>"41"</f>
        <v>41</v>
      </c>
      <c r="D3358" t="s">
        <v>120</v>
      </c>
      <c r="E3358" t="s">
        <v>116</v>
      </c>
      <c r="F3358" t="s">
        <v>117</v>
      </c>
      <c r="H3358" t="s">
        <v>858</v>
      </c>
      <c r="I3358" t="str">
        <f>"101050002014782"</f>
        <v>101050002014782</v>
      </c>
      <c r="J3358" t="str">
        <f>"31090"</f>
        <v>31090</v>
      </c>
      <c r="K3358" t="s">
        <v>76</v>
      </c>
      <c r="L3358">
        <v>49</v>
      </c>
      <c r="M3358">
        <v>49</v>
      </c>
      <c r="N3358">
        <v>0</v>
      </c>
      <c r="O3358" s="1">
        <v>45581.474270833336</v>
      </c>
      <c r="P3358" t="s">
        <v>138</v>
      </c>
    </row>
    <row r="3359" spans="1:16" x14ac:dyDescent="0.3">
      <c r="A3359" t="s">
        <v>25</v>
      </c>
      <c r="B3359" s="1">
        <v>45581.474270833336</v>
      </c>
      <c r="C3359" t="str">
        <f>"41"</f>
        <v>41</v>
      </c>
      <c r="D3359" t="s">
        <v>120</v>
      </c>
      <c r="E3359" t="s">
        <v>116</v>
      </c>
      <c r="F3359" t="s">
        <v>117</v>
      </c>
      <c r="H3359" t="s">
        <v>858</v>
      </c>
      <c r="I3359" t="str">
        <f>"101050002014778"</f>
        <v>101050002014778</v>
      </c>
      <c r="J3359" t="str">
        <f>"31090"</f>
        <v>31090</v>
      </c>
      <c r="K3359" t="s">
        <v>76</v>
      </c>
      <c r="L3359">
        <v>49</v>
      </c>
      <c r="M3359">
        <v>49</v>
      </c>
      <c r="N3359">
        <v>0</v>
      </c>
      <c r="O3359" s="1">
        <v>45581.474270833336</v>
      </c>
      <c r="P3359" t="s">
        <v>138</v>
      </c>
    </row>
    <row r="3360" spans="1:16" x14ac:dyDescent="0.3">
      <c r="A3360" t="s">
        <v>25</v>
      </c>
      <c r="B3360" s="1">
        <v>45581.474270833336</v>
      </c>
      <c r="C3360" t="str">
        <f>"41"</f>
        <v>41</v>
      </c>
      <c r="D3360" t="s">
        <v>120</v>
      </c>
      <c r="E3360" t="s">
        <v>116</v>
      </c>
      <c r="F3360" t="s">
        <v>117</v>
      </c>
      <c r="H3360" t="s">
        <v>858</v>
      </c>
      <c r="I3360" t="str">
        <f>"101050002014783"</f>
        <v>101050002014783</v>
      </c>
      <c r="J3360" t="str">
        <f>"31090"</f>
        <v>31090</v>
      </c>
      <c r="K3360" t="s">
        <v>76</v>
      </c>
      <c r="L3360">
        <v>49</v>
      </c>
      <c r="M3360">
        <v>49</v>
      </c>
      <c r="N3360">
        <v>0</v>
      </c>
      <c r="O3360" s="1">
        <v>45581.474270833336</v>
      </c>
      <c r="P3360" t="s">
        <v>138</v>
      </c>
    </row>
    <row r="3361" spans="1:16" x14ac:dyDescent="0.3">
      <c r="A3361" t="s">
        <v>25</v>
      </c>
      <c r="B3361" s="1">
        <v>45581.473287037035</v>
      </c>
      <c r="C3361" t="str">
        <f>"38"</f>
        <v>38</v>
      </c>
      <c r="D3361" t="s">
        <v>115</v>
      </c>
      <c r="E3361" t="s">
        <v>116</v>
      </c>
      <c r="F3361" t="s">
        <v>117</v>
      </c>
      <c r="H3361" t="s">
        <v>859</v>
      </c>
      <c r="L3361">
        <v>0</v>
      </c>
      <c r="M3361">
        <v>0</v>
      </c>
      <c r="N3361">
        <v>0</v>
      </c>
      <c r="O3361" s="1">
        <v>45581.473287037035</v>
      </c>
      <c r="P3361" t="s">
        <v>138</v>
      </c>
    </row>
    <row r="3362" spans="1:16" x14ac:dyDescent="0.3">
      <c r="A3362" t="s">
        <v>25</v>
      </c>
      <c r="B3362" s="1">
        <v>45581.473194444443</v>
      </c>
      <c r="C3362" t="str">
        <f>"38"</f>
        <v>38</v>
      </c>
      <c r="D3362" t="s">
        <v>115</v>
      </c>
      <c r="E3362" t="s">
        <v>116</v>
      </c>
      <c r="F3362" t="s">
        <v>117</v>
      </c>
      <c r="H3362" t="s">
        <v>860</v>
      </c>
      <c r="L3362">
        <v>0</v>
      </c>
      <c r="M3362">
        <v>0</v>
      </c>
      <c r="N3362">
        <v>0</v>
      </c>
      <c r="O3362" s="1">
        <v>45581.473194444443</v>
      </c>
      <c r="P3362" t="s">
        <v>138</v>
      </c>
    </row>
    <row r="3363" spans="1:16" x14ac:dyDescent="0.3">
      <c r="A3363" t="s">
        <v>25</v>
      </c>
      <c r="B3363" s="1">
        <v>45581.472974537035</v>
      </c>
      <c r="C3363" t="str">
        <f>"38"</f>
        <v>38</v>
      </c>
      <c r="D3363" t="s">
        <v>115</v>
      </c>
      <c r="E3363" t="s">
        <v>116</v>
      </c>
      <c r="F3363" t="s">
        <v>117</v>
      </c>
      <c r="H3363" t="s">
        <v>861</v>
      </c>
      <c r="L3363">
        <v>0</v>
      </c>
      <c r="M3363">
        <v>0</v>
      </c>
      <c r="N3363">
        <v>0</v>
      </c>
      <c r="O3363" s="1">
        <v>45581.472974537035</v>
      </c>
      <c r="P3363" t="s">
        <v>138</v>
      </c>
    </row>
    <row r="3364" spans="1:16" x14ac:dyDescent="0.3">
      <c r="A3364" t="s">
        <v>25</v>
      </c>
      <c r="B3364" s="1">
        <v>45581.472974537035</v>
      </c>
      <c r="C3364" t="str">
        <f>"41"</f>
        <v>41</v>
      </c>
      <c r="D3364" t="s">
        <v>120</v>
      </c>
      <c r="E3364" t="s">
        <v>116</v>
      </c>
      <c r="F3364" t="s">
        <v>117</v>
      </c>
      <c r="H3364" t="s">
        <v>861</v>
      </c>
      <c r="I3364" t="str">
        <f>"101620000466107"</f>
        <v>101620000466107</v>
      </c>
      <c r="J3364" t="str">
        <f>"514867"</f>
        <v>514867</v>
      </c>
      <c r="K3364" t="s">
        <v>16</v>
      </c>
      <c r="L3364">
        <v>49</v>
      </c>
      <c r="M3364">
        <v>49</v>
      </c>
      <c r="N3364">
        <v>0</v>
      </c>
      <c r="O3364" s="1">
        <v>45581.472974537035</v>
      </c>
      <c r="P3364" t="s">
        <v>138</v>
      </c>
    </row>
    <row r="3365" spans="1:16" x14ac:dyDescent="0.3">
      <c r="A3365" t="s">
        <v>25</v>
      </c>
      <c r="B3365" s="1">
        <v>45581.472974537035</v>
      </c>
      <c r="C3365" t="str">
        <f>"41"</f>
        <v>41</v>
      </c>
      <c r="D3365" t="s">
        <v>120</v>
      </c>
      <c r="E3365" t="s">
        <v>116</v>
      </c>
      <c r="F3365" t="s">
        <v>117</v>
      </c>
      <c r="H3365" t="s">
        <v>861</v>
      </c>
      <c r="I3365" t="str">
        <f>"101620000466103"</f>
        <v>101620000466103</v>
      </c>
      <c r="J3365" t="str">
        <f>"514867"</f>
        <v>514867</v>
      </c>
      <c r="K3365" t="s">
        <v>16</v>
      </c>
      <c r="L3365">
        <v>49</v>
      </c>
      <c r="M3365">
        <v>49</v>
      </c>
      <c r="N3365">
        <v>0</v>
      </c>
      <c r="O3365" s="1">
        <v>45581.472974537035</v>
      </c>
      <c r="P3365" t="s">
        <v>138</v>
      </c>
    </row>
    <row r="3366" spans="1:16" x14ac:dyDescent="0.3">
      <c r="A3366" t="s">
        <v>25</v>
      </c>
      <c r="B3366" s="1">
        <v>45581.472974537035</v>
      </c>
      <c r="C3366" t="str">
        <f>"41"</f>
        <v>41</v>
      </c>
      <c r="D3366" t="s">
        <v>120</v>
      </c>
      <c r="E3366" t="s">
        <v>116</v>
      </c>
      <c r="F3366" t="s">
        <v>117</v>
      </c>
      <c r="H3366" t="s">
        <v>861</v>
      </c>
      <c r="I3366" t="str">
        <f>"101620000466347"</f>
        <v>101620000466347</v>
      </c>
      <c r="J3366" t="str">
        <f>"514867"</f>
        <v>514867</v>
      </c>
      <c r="K3366" t="s">
        <v>16</v>
      </c>
      <c r="L3366">
        <v>49</v>
      </c>
      <c r="M3366">
        <v>49</v>
      </c>
      <c r="N3366">
        <v>0</v>
      </c>
      <c r="O3366" s="1">
        <v>45581.472974537035</v>
      </c>
      <c r="P3366" t="s">
        <v>138</v>
      </c>
    </row>
    <row r="3367" spans="1:16" x14ac:dyDescent="0.3">
      <c r="A3367" t="s">
        <v>25</v>
      </c>
      <c r="B3367" s="1">
        <v>45581.472430555557</v>
      </c>
      <c r="C3367" t="str">
        <f>"38"</f>
        <v>38</v>
      </c>
      <c r="D3367" t="s">
        <v>115</v>
      </c>
      <c r="E3367" t="s">
        <v>116</v>
      </c>
      <c r="F3367" t="s">
        <v>117</v>
      </c>
      <c r="H3367" t="s">
        <v>862</v>
      </c>
      <c r="L3367">
        <v>0</v>
      </c>
      <c r="M3367">
        <v>0</v>
      </c>
      <c r="N3367">
        <v>0</v>
      </c>
      <c r="O3367" s="1">
        <v>45581.472430555557</v>
      </c>
      <c r="P3367" t="s">
        <v>122</v>
      </c>
    </row>
    <row r="3368" spans="1:16" x14ac:dyDescent="0.3">
      <c r="A3368" t="s">
        <v>25</v>
      </c>
      <c r="B3368" s="1">
        <v>45581.472430555557</v>
      </c>
      <c r="C3368" t="str">
        <f t="shared" ref="C3368:C3373" si="621">"41"</f>
        <v>41</v>
      </c>
      <c r="D3368" t="s">
        <v>120</v>
      </c>
      <c r="E3368" t="s">
        <v>116</v>
      </c>
      <c r="F3368" t="s">
        <v>117</v>
      </c>
      <c r="H3368" t="s">
        <v>862</v>
      </c>
      <c r="I3368" t="str">
        <f>"101620000468816"</f>
        <v>101620000468816</v>
      </c>
      <c r="J3368" t="str">
        <f t="shared" ref="J3368:J3373" si="622">"514867"</f>
        <v>514867</v>
      </c>
      <c r="K3368" t="s">
        <v>16</v>
      </c>
      <c r="L3368">
        <v>49</v>
      </c>
      <c r="M3368">
        <v>49</v>
      </c>
      <c r="N3368">
        <v>0</v>
      </c>
      <c r="O3368" s="1">
        <v>45581.472430555557</v>
      </c>
      <c r="P3368" t="s">
        <v>122</v>
      </c>
    </row>
    <row r="3369" spans="1:16" x14ac:dyDescent="0.3">
      <c r="A3369" t="s">
        <v>25</v>
      </c>
      <c r="B3369" s="1">
        <v>45581.472430555557</v>
      </c>
      <c r="C3369" t="str">
        <f t="shared" si="621"/>
        <v>41</v>
      </c>
      <c r="D3369" t="s">
        <v>120</v>
      </c>
      <c r="E3369" t="s">
        <v>116</v>
      </c>
      <c r="F3369" t="s">
        <v>117</v>
      </c>
      <c r="H3369" t="s">
        <v>862</v>
      </c>
      <c r="I3369" t="str">
        <f>"101620000468359"</f>
        <v>101620000468359</v>
      </c>
      <c r="J3369" t="str">
        <f t="shared" si="622"/>
        <v>514867</v>
      </c>
      <c r="K3369" t="s">
        <v>16</v>
      </c>
      <c r="L3369">
        <v>49</v>
      </c>
      <c r="M3369">
        <v>49</v>
      </c>
      <c r="N3369">
        <v>0</v>
      </c>
      <c r="O3369" s="1">
        <v>45581.472430555557</v>
      </c>
      <c r="P3369" t="s">
        <v>122</v>
      </c>
    </row>
    <row r="3370" spans="1:16" x14ac:dyDescent="0.3">
      <c r="A3370" t="s">
        <v>25</v>
      </c>
      <c r="B3370" s="1">
        <v>45581.472430555557</v>
      </c>
      <c r="C3370" t="str">
        <f t="shared" si="621"/>
        <v>41</v>
      </c>
      <c r="D3370" t="s">
        <v>120</v>
      </c>
      <c r="E3370" t="s">
        <v>116</v>
      </c>
      <c r="F3370" t="s">
        <v>117</v>
      </c>
      <c r="H3370" t="s">
        <v>862</v>
      </c>
      <c r="I3370" t="str">
        <f>"101620000468815"</f>
        <v>101620000468815</v>
      </c>
      <c r="J3370" t="str">
        <f t="shared" si="622"/>
        <v>514867</v>
      </c>
      <c r="K3370" t="s">
        <v>16</v>
      </c>
      <c r="L3370">
        <v>49</v>
      </c>
      <c r="M3370">
        <v>49</v>
      </c>
      <c r="N3370">
        <v>0</v>
      </c>
      <c r="O3370" s="1">
        <v>45581.472430555557</v>
      </c>
      <c r="P3370" t="s">
        <v>122</v>
      </c>
    </row>
    <row r="3371" spans="1:16" x14ac:dyDescent="0.3">
      <c r="A3371" t="s">
        <v>25</v>
      </c>
      <c r="B3371" s="1">
        <v>45581.472418981481</v>
      </c>
      <c r="C3371" t="str">
        <f t="shared" si="621"/>
        <v>41</v>
      </c>
      <c r="D3371" t="s">
        <v>120</v>
      </c>
      <c r="E3371" t="s">
        <v>116</v>
      </c>
      <c r="F3371" t="s">
        <v>117</v>
      </c>
      <c r="H3371" t="s">
        <v>862</v>
      </c>
      <c r="I3371" t="str">
        <f>"101620000468206"</f>
        <v>101620000468206</v>
      </c>
      <c r="J3371" t="str">
        <f t="shared" si="622"/>
        <v>514867</v>
      </c>
      <c r="K3371" t="s">
        <v>16</v>
      </c>
      <c r="L3371">
        <v>49</v>
      </c>
      <c r="M3371">
        <v>49</v>
      </c>
      <c r="N3371">
        <v>0</v>
      </c>
      <c r="O3371" s="1">
        <v>45581.472418981481</v>
      </c>
      <c r="P3371" t="s">
        <v>122</v>
      </c>
    </row>
    <row r="3372" spans="1:16" x14ac:dyDescent="0.3">
      <c r="A3372" t="s">
        <v>25</v>
      </c>
      <c r="B3372" s="1">
        <v>45581.472418981481</v>
      </c>
      <c r="C3372" t="str">
        <f t="shared" si="621"/>
        <v>41</v>
      </c>
      <c r="D3372" t="s">
        <v>120</v>
      </c>
      <c r="E3372" t="s">
        <v>116</v>
      </c>
      <c r="F3372" t="s">
        <v>117</v>
      </c>
      <c r="H3372" t="s">
        <v>862</v>
      </c>
      <c r="I3372" t="str">
        <f>"101620000468162"</f>
        <v>101620000468162</v>
      </c>
      <c r="J3372" t="str">
        <f t="shared" si="622"/>
        <v>514867</v>
      </c>
      <c r="K3372" t="s">
        <v>16</v>
      </c>
      <c r="L3372">
        <v>49</v>
      </c>
      <c r="M3372">
        <v>49</v>
      </c>
      <c r="N3372">
        <v>0</v>
      </c>
      <c r="O3372" s="1">
        <v>45581.472418981481</v>
      </c>
      <c r="P3372" t="s">
        <v>122</v>
      </c>
    </row>
    <row r="3373" spans="1:16" x14ac:dyDescent="0.3">
      <c r="A3373" t="s">
        <v>25</v>
      </c>
      <c r="B3373" s="1">
        <v>45581.472418981481</v>
      </c>
      <c r="C3373" t="str">
        <f t="shared" si="621"/>
        <v>41</v>
      </c>
      <c r="D3373" t="s">
        <v>120</v>
      </c>
      <c r="E3373" t="s">
        <v>116</v>
      </c>
      <c r="F3373" t="s">
        <v>117</v>
      </c>
      <c r="H3373" t="s">
        <v>862</v>
      </c>
      <c r="I3373" t="str">
        <f>"101620000468118"</f>
        <v>101620000468118</v>
      </c>
      <c r="J3373" t="str">
        <f t="shared" si="622"/>
        <v>514867</v>
      </c>
      <c r="K3373" t="s">
        <v>16</v>
      </c>
      <c r="L3373">
        <v>49</v>
      </c>
      <c r="M3373">
        <v>49</v>
      </c>
      <c r="N3373">
        <v>0</v>
      </c>
      <c r="O3373" s="1">
        <v>45581.472418981481</v>
      </c>
      <c r="P3373" t="s">
        <v>122</v>
      </c>
    </row>
    <row r="3374" spans="1:16" x14ac:dyDescent="0.3">
      <c r="A3374" t="s">
        <v>25</v>
      </c>
      <c r="B3374" s="1">
        <v>45581.472268518519</v>
      </c>
      <c r="C3374" t="str">
        <f>"38"</f>
        <v>38</v>
      </c>
      <c r="D3374" t="s">
        <v>115</v>
      </c>
      <c r="E3374" t="s">
        <v>116</v>
      </c>
      <c r="F3374" t="s">
        <v>117</v>
      </c>
      <c r="H3374" t="s">
        <v>863</v>
      </c>
      <c r="L3374">
        <v>0</v>
      </c>
      <c r="M3374">
        <v>0</v>
      </c>
      <c r="N3374">
        <v>0</v>
      </c>
      <c r="O3374" s="1">
        <v>45581.472268518519</v>
      </c>
      <c r="P3374" t="s">
        <v>138</v>
      </c>
    </row>
    <row r="3375" spans="1:16" x14ac:dyDescent="0.3">
      <c r="A3375" t="s">
        <v>25</v>
      </c>
      <c r="B3375" s="1">
        <v>45581.472268518519</v>
      </c>
      <c r="C3375" t="str">
        <f t="shared" ref="C3375:C3380" si="623">"41"</f>
        <v>41</v>
      </c>
      <c r="D3375" t="s">
        <v>120</v>
      </c>
      <c r="E3375" t="s">
        <v>116</v>
      </c>
      <c r="F3375" t="s">
        <v>117</v>
      </c>
      <c r="H3375" t="s">
        <v>863</v>
      </c>
      <c r="I3375" t="str">
        <f>"101050001909740"</f>
        <v>101050001909740</v>
      </c>
      <c r="J3375" t="str">
        <f t="shared" ref="J3375:J3380" si="624">"127310"</f>
        <v>127310</v>
      </c>
      <c r="K3375" t="s">
        <v>58</v>
      </c>
      <c r="L3375">
        <v>49</v>
      </c>
      <c r="M3375">
        <v>49</v>
      </c>
      <c r="N3375">
        <v>0</v>
      </c>
      <c r="O3375" s="1">
        <v>45581.472268518519</v>
      </c>
      <c r="P3375" t="s">
        <v>138</v>
      </c>
    </row>
    <row r="3376" spans="1:16" x14ac:dyDescent="0.3">
      <c r="A3376" t="s">
        <v>25</v>
      </c>
      <c r="B3376" s="1">
        <v>45581.472268518519</v>
      </c>
      <c r="C3376" t="str">
        <f t="shared" si="623"/>
        <v>41</v>
      </c>
      <c r="D3376" t="s">
        <v>120</v>
      </c>
      <c r="E3376" t="s">
        <v>116</v>
      </c>
      <c r="F3376" t="s">
        <v>117</v>
      </c>
      <c r="H3376" t="s">
        <v>863</v>
      </c>
      <c r="I3376" t="str">
        <f>"101050001909450"</f>
        <v>101050001909450</v>
      </c>
      <c r="J3376" t="str">
        <f t="shared" si="624"/>
        <v>127310</v>
      </c>
      <c r="K3376" t="s">
        <v>58</v>
      </c>
      <c r="L3376">
        <v>49</v>
      </c>
      <c r="M3376">
        <v>49</v>
      </c>
      <c r="N3376">
        <v>0</v>
      </c>
      <c r="O3376" s="1">
        <v>45581.472268518519</v>
      </c>
      <c r="P3376" t="s">
        <v>138</v>
      </c>
    </row>
    <row r="3377" spans="1:16" x14ac:dyDescent="0.3">
      <c r="A3377" t="s">
        <v>25</v>
      </c>
      <c r="B3377" s="1">
        <v>45581.472256944442</v>
      </c>
      <c r="C3377" t="str">
        <f t="shared" si="623"/>
        <v>41</v>
      </c>
      <c r="D3377" t="s">
        <v>120</v>
      </c>
      <c r="E3377" t="s">
        <v>116</v>
      </c>
      <c r="F3377" t="s">
        <v>117</v>
      </c>
      <c r="H3377" t="s">
        <v>863</v>
      </c>
      <c r="I3377" t="str">
        <f>"101050001909057"</f>
        <v>101050001909057</v>
      </c>
      <c r="J3377" t="str">
        <f t="shared" si="624"/>
        <v>127310</v>
      </c>
      <c r="K3377" t="s">
        <v>58</v>
      </c>
      <c r="L3377">
        <v>49</v>
      </c>
      <c r="M3377">
        <v>49</v>
      </c>
      <c r="N3377">
        <v>0</v>
      </c>
      <c r="O3377" s="1">
        <v>45581.472256944442</v>
      </c>
      <c r="P3377" t="s">
        <v>138</v>
      </c>
    </row>
    <row r="3378" spans="1:16" x14ac:dyDescent="0.3">
      <c r="A3378" t="s">
        <v>25</v>
      </c>
      <c r="B3378" s="1">
        <v>45581.472256944442</v>
      </c>
      <c r="C3378" t="str">
        <f t="shared" si="623"/>
        <v>41</v>
      </c>
      <c r="D3378" t="s">
        <v>120</v>
      </c>
      <c r="E3378" t="s">
        <v>116</v>
      </c>
      <c r="F3378" t="s">
        <v>117</v>
      </c>
      <c r="H3378" t="s">
        <v>863</v>
      </c>
      <c r="I3378" t="str">
        <f>"101050001890809"</f>
        <v>101050001890809</v>
      </c>
      <c r="J3378" t="str">
        <f t="shared" si="624"/>
        <v>127310</v>
      </c>
      <c r="K3378" t="s">
        <v>58</v>
      </c>
      <c r="L3378">
        <v>49</v>
      </c>
      <c r="M3378">
        <v>49</v>
      </c>
      <c r="N3378">
        <v>0</v>
      </c>
      <c r="O3378" s="1">
        <v>45581.472256944442</v>
      </c>
      <c r="P3378" t="s">
        <v>138</v>
      </c>
    </row>
    <row r="3379" spans="1:16" x14ac:dyDescent="0.3">
      <c r="A3379" t="s">
        <v>25</v>
      </c>
      <c r="B3379" s="1">
        <v>45581.472256944442</v>
      </c>
      <c r="C3379" t="str">
        <f t="shared" si="623"/>
        <v>41</v>
      </c>
      <c r="D3379" t="s">
        <v>120</v>
      </c>
      <c r="E3379" t="s">
        <v>116</v>
      </c>
      <c r="F3379" t="s">
        <v>117</v>
      </c>
      <c r="H3379" t="s">
        <v>863</v>
      </c>
      <c r="I3379" t="str">
        <f>"101050001890810"</f>
        <v>101050001890810</v>
      </c>
      <c r="J3379" t="str">
        <f t="shared" si="624"/>
        <v>127310</v>
      </c>
      <c r="K3379" t="s">
        <v>58</v>
      </c>
      <c r="L3379">
        <v>49</v>
      </c>
      <c r="M3379">
        <v>49</v>
      </c>
      <c r="N3379">
        <v>0</v>
      </c>
      <c r="O3379" s="1">
        <v>45581.472256944442</v>
      </c>
      <c r="P3379" t="s">
        <v>138</v>
      </c>
    </row>
    <row r="3380" spans="1:16" x14ac:dyDescent="0.3">
      <c r="A3380" t="s">
        <v>25</v>
      </c>
      <c r="B3380" s="1">
        <v>45581.472256944442</v>
      </c>
      <c r="C3380" t="str">
        <f t="shared" si="623"/>
        <v>41</v>
      </c>
      <c r="D3380" t="s">
        <v>120</v>
      </c>
      <c r="E3380" t="s">
        <v>116</v>
      </c>
      <c r="F3380" t="s">
        <v>117</v>
      </c>
      <c r="H3380" t="s">
        <v>863</v>
      </c>
      <c r="I3380" t="str">
        <f>"101050001891164"</f>
        <v>101050001891164</v>
      </c>
      <c r="J3380" t="str">
        <f t="shared" si="624"/>
        <v>127310</v>
      </c>
      <c r="K3380" t="s">
        <v>58</v>
      </c>
      <c r="L3380">
        <v>49</v>
      </c>
      <c r="M3380">
        <v>49</v>
      </c>
      <c r="N3380">
        <v>0</v>
      </c>
      <c r="O3380" s="1">
        <v>45581.472256944442</v>
      </c>
      <c r="P3380" t="s">
        <v>138</v>
      </c>
    </row>
    <row r="3381" spans="1:16" x14ac:dyDescent="0.3">
      <c r="A3381" t="s">
        <v>25</v>
      </c>
      <c r="B3381" s="1">
        <v>45581.475717592592</v>
      </c>
      <c r="C3381" t="str">
        <f>"38"</f>
        <v>38</v>
      </c>
      <c r="D3381" t="s">
        <v>115</v>
      </c>
      <c r="E3381" t="s">
        <v>116</v>
      </c>
      <c r="F3381" t="s">
        <v>117</v>
      </c>
      <c r="H3381" t="s">
        <v>857</v>
      </c>
      <c r="L3381">
        <v>0</v>
      </c>
      <c r="M3381">
        <v>0</v>
      </c>
      <c r="N3381">
        <v>0</v>
      </c>
      <c r="O3381" s="1">
        <v>45581.475717592592</v>
      </c>
      <c r="P3381" t="s">
        <v>392</v>
      </c>
    </row>
    <row r="3382" spans="1:16" x14ac:dyDescent="0.3">
      <c r="A3382" t="s">
        <v>25</v>
      </c>
      <c r="B3382" s="1">
        <v>45581.475671296299</v>
      </c>
      <c r="C3382" t="str">
        <f>"38"</f>
        <v>38</v>
      </c>
      <c r="D3382" t="s">
        <v>115</v>
      </c>
      <c r="E3382" t="s">
        <v>116</v>
      </c>
      <c r="F3382" t="s">
        <v>117</v>
      </c>
      <c r="H3382" t="s">
        <v>856</v>
      </c>
      <c r="L3382">
        <v>0</v>
      </c>
      <c r="M3382">
        <v>0</v>
      </c>
      <c r="N3382">
        <v>0</v>
      </c>
      <c r="O3382" s="1">
        <v>45581.475671296299</v>
      </c>
      <c r="P3382" t="s">
        <v>392</v>
      </c>
    </row>
    <row r="3383" spans="1:16" x14ac:dyDescent="0.3">
      <c r="A3383" t="s">
        <v>25</v>
      </c>
      <c r="B3383" s="1">
        <v>45581.475671296299</v>
      </c>
      <c r="C3383" t="str">
        <f>"41"</f>
        <v>41</v>
      </c>
      <c r="D3383" t="s">
        <v>120</v>
      </c>
      <c r="E3383" t="s">
        <v>116</v>
      </c>
      <c r="F3383" t="s">
        <v>117</v>
      </c>
      <c r="H3383" t="s">
        <v>856</v>
      </c>
      <c r="I3383" t="str">
        <f>"101050001991582"</f>
        <v>101050001991582</v>
      </c>
      <c r="J3383" t="str">
        <f>"124616"</f>
        <v>124616</v>
      </c>
      <c r="K3383" t="s">
        <v>34</v>
      </c>
      <c r="L3383">
        <v>49</v>
      </c>
      <c r="M3383">
        <v>49</v>
      </c>
      <c r="N3383">
        <v>0</v>
      </c>
      <c r="O3383" s="1">
        <v>45581.475671296299</v>
      </c>
      <c r="P3383" t="s">
        <v>392</v>
      </c>
    </row>
    <row r="3384" spans="1:16" x14ac:dyDescent="0.3">
      <c r="A3384" t="s">
        <v>25</v>
      </c>
      <c r="B3384" s="1">
        <v>45581.475451388891</v>
      </c>
      <c r="C3384" t="str">
        <f>"38"</f>
        <v>38</v>
      </c>
      <c r="D3384" t="s">
        <v>115</v>
      </c>
      <c r="E3384" t="s">
        <v>116</v>
      </c>
      <c r="F3384" t="s">
        <v>117</v>
      </c>
      <c r="H3384" t="s">
        <v>864</v>
      </c>
      <c r="L3384">
        <v>0</v>
      </c>
      <c r="M3384">
        <v>0</v>
      </c>
      <c r="N3384">
        <v>0</v>
      </c>
      <c r="O3384" s="1">
        <v>45581.475451388891</v>
      </c>
      <c r="P3384" t="s">
        <v>392</v>
      </c>
    </row>
    <row r="3385" spans="1:16" x14ac:dyDescent="0.3">
      <c r="A3385" t="s">
        <v>25</v>
      </c>
      <c r="B3385" s="1">
        <v>45581.475011574075</v>
      </c>
      <c r="C3385" t="str">
        <f>"38"</f>
        <v>38</v>
      </c>
      <c r="D3385" t="s">
        <v>115</v>
      </c>
      <c r="E3385" t="s">
        <v>116</v>
      </c>
      <c r="F3385" t="s">
        <v>117</v>
      </c>
      <c r="H3385" t="s">
        <v>865</v>
      </c>
      <c r="L3385">
        <v>0</v>
      </c>
      <c r="M3385">
        <v>0</v>
      </c>
      <c r="N3385">
        <v>0</v>
      </c>
      <c r="O3385" s="1">
        <v>45581.475011574075</v>
      </c>
      <c r="P3385" t="s">
        <v>392</v>
      </c>
    </row>
    <row r="3386" spans="1:16" x14ac:dyDescent="0.3">
      <c r="A3386" t="s">
        <v>25</v>
      </c>
      <c r="B3386" s="1">
        <v>45581.475011574075</v>
      </c>
      <c r="C3386" t="str">
        <f>"41"</f>
        <v>41</v>
      </c>
      <c r="D3386" t="s">
        <v>120</v>
      </c>
      <c r="E3386" t="s">
        <v>116</v>
      </c>
      <c r="F3386" t="s">
        <v>117</v>
      </c>
      <c r="H3386" t="s">
        <v>865</v>
      </c>
      <c r="I3386" t="str">
        <f>"101050001927445"</f>
        <v>101050001927445</v>
      </c>
      <c r="J3386" t="str">
        <f>"125192"</f>
        <v>125192</v>
      </c>
      <c r="K3386" t="s">
        <v>42</v>
      </c>
      <c r="L3386">
        <v>49</v>
      </c>
      <c r="M3386">
        <v>49</v>
      </c>
      <c r="N3386">
        <v>0</v>
      </c>
      <c r="O3386" s="1">
        <v>45581.475011574075</v>
      </c>
      <c r="P3386" t="s">
        <v>392</v>
      </c>
    </row>
    <row r="3387" spans="1:16" x14ac:dyDescent="0.3">
      <c r="A3387" t="s">
        <v>25</v>
      </c>
      <c r="B3387" s="1">
        <v>45581.475011574075</v>
      </c>
      <c r="C3387" t="str">
        <f>"41"</f>
        <v>41</v>
      </c>
      <c r="D3387" t="s">
        <v>120</v>
      </c>
      <c r="E3387" t="s">
        <v>116</v>
      </c>
      <c r="F3387" t="s">
        <v>117</v>
      </c>
      <c r="H3387" t="s">
        <v>865</v>
      </c>
      <c r="I3387" t="str">
        <f>"101050001927444"</f>
        <v>101050001927444</v>
      </c>
      <c r="J3387" t="str">
        <f>"125192"</f>
        <v>125192</v>
      </c>
      <c r="K3387" t="s">
        <v>42</v>
      </c>
      <c r="L3387">
        <v>49</v>
      </c>
      <c r="M3387">
        <v>49</v>
      </c>
      <c r="N3387">
        <v>0</v>
      </c>
      <c r="O3387" s="1">
        <v>45581.475011574075</v>
      </c>
      <c r="P3387" t="s">
        <v>392</v>
      </c>
    </row>
    <row r="3388" spans="1:16" x14ac:dyDescent="0.3">
      <c r="A3388" t="s">
        <v>25</v>
      </c>
      <c r="B3388" s="1">
        <v>45581.475011574075</v>
      </c>
      <c r="C3388" t="str">
        <f>"41"</f>
        <v>41</v>
      </c>
      <c r="D3388" t="s">
        <v>120</v>
      </c>
      <c r="E3388" t="s">
        <v>116</v>
      </c>
      <c r="F3388" t="s">
        <v>117</v>
      </c>
      <c r="H3388" t="s">
        <v>865</v>
      </c>
      <c r="I3388" t="str">
        <f>"101050001910550"</f>
        <v>101050001910550</v>
      </c>
      <c r="J3388" t="str">
        <f>"125192"</f>
        <v>125192</v>
      </c>
      <c r="K3388" t="s">
        <v>42</v>
      </c>
      <c r="L3388">
        <v>49</v>
      </c>
      <c r="M3388">
        <v>49</v>
      </c>
      <c r="N3388">
        <v>0</v>
      </c>
      <c r="O3388" s="1">
        <v>45581.475011574075</v>
      </c>
      <c r="P3388" t="s">
        <v>392</v>
      </c>
    </row>
    <row r="3389" spans="1:16" x14ac:dyDescent="0.3">
      <c r="A3389" t="s">
        <v>25</v>
      </c>
      <c r="B3389" s="1">
        <v>45581.47378472222</v>
      </c>
      <c r="C3389" t="str">
        <f>"38"</f>
        <v>38</v>
      </c>
      <c r="D3389" t="s">
        <v>115</v>
      </c>
      <c r="E3389" t="s">
        <v>116</v>
      </c>
      <c r="F3389" t="s">
        <v>117</v>
      </c>
      <c r="H3389" t="s">
        <v>866</v>
      </c>
      <c r="L3389">
        <v>0</v>
      </c>
      <c r="M3389">
        <v>0</v>
      </c>
      <c r="N3389">
        <v>0</v>
      </c>
      <c r="O3389" s="1">
        <v>45581.47378472222</v>
      </c>
      <c r="P3389" t="s">
        <v>392</v>
      </c>
    </row>
    <row r="3390" spans="1:16" x14ac:dyDescent="0.3">
      <c r="A3390" t="s">
        <v>25</v>
      </c>
      <c r="B3390" s="1">
        <v>45581.472118055557</v>
      </c>
      <c r="C3390" t="str">
        <f>"38"</f>
        <v>38</v>
      </c>
      <c r="D3390" t="s">
        <v>115</v>
      </c>
      <c r="E3390" t="s">
        <v>116</v>
      </c>
      <c r="F3390" t="s">
        <v>117</v>
      </c>
      <c r="H3390" t="s">
        <v>867</v>
      </c>
      <c r="L3390">
        <v>0</v>
      </c>
      <c r="M3390">
        <v>0</v>
      </c>
      <c r="N3390">
        <v>0</v>
      </c>
      <c r="O3390" s="1">
        <v>45581.472118055557</v>
      </c>
      <c r="P3390" t="s">
        <v>392</v>
      </c>
    </row>
    <row r="3391" spans="1:16" x14ac:dyDescent="0.3">
      <c r="A3391" t="s">
        <v>25</v>
      </c>
      <c r="B3391" s="1">
        <v>45581.471458333333</v>
      </c>
      <c r="C3391" t="str">
        <f>"38"</f>
        <v>38</v>
      </c>
      <c r="D3391" t="s">
        <v>115</v>
      </c>
      <c r="E3391" t="s">
        <v>116</v>
      </c>
      <c r="F3391" t="s">
        <v>117</v>
      </c>
      <c r="H3391" t="s">
        <v>868</v>
      </c>
      <c r="L3391">
        <v>0</v>
      </c>
      <c r="M3391">
        <v>0</v>
      </c>
      <c r="N3391">
        <v>0</v>
      </c>
      <c r="O3391" s="1">
        <v>45581.471458333333</v>
      </c>
      <c r="P3391" t="s">
        <v>138</v>
      </c>
    </row>
    <row r="3392" spans="1:16" x14ac:dyDescent="0.3">
      <c r="A3392" t="s">
        <v>25</v>
      </c>
      <c r="B3392" s="1">
        <v>45581.471018518518</v>
      </c>
      <c r="C3392" t="str">
        <f>"38"</f>
        <v>38</v>
      </c>
      <c r="D3392" t="s">
        <v>115</v>
      </c>
      <c r="E3392" t="s">
        <v>116</v>
      </c>
      <c r="F3392" t="s">
        <v>117</v>
      </c>
      <c r="H3392" t="s">
        <v>869</v>
      </c>
      <c r="L3392">
        <v>0</v>
      </c>
      <c r="M3392">
        <v>0</v>
      </c>
      <c r="N3392">
        <v>0</v>
      </c>
      <c r="O3392" s="1">
        <v>45581.471018518518</v>
      </c>
      <c r="P3392" t="s">
        <v>138</v>
      </c>
    </row>
    <row r="3393" spans="1:16" x14ac:dyDescent="0.3">
      <c r="A3393" t="s">
        <v>25</v>
      </c>
      <c r="B3393" s="1">
        <v>45581.471018518518</v>
      </c>
      <c r="C3393" t="str">
        <f>"41"</f>
        <v>41</v>
      </c>
      <c r="D3393" t="s">
        <v>120</v>
      </c>
      <c r="E3393" t="s">
        <v>116</v>
      </c>
      <c r="F3393" t="s">
        <v>117</v>
      </c>
      <c r="H3393" t="s">
        <v>869</v>
      </c>
      <c r="I3393" t="str">
        <f>"101050001893930"</f>
        <v>101050001893930</v>
      </c>
      <c r="J3393" t="str">
        <f>"42126"</f>
        <v>42126</v>
      </c>
      <c r="K3393" t="s">
        <v>79</v>
      </c>
      <c r="L3393">
        <v>49</v>
      </c>
      <c r="M3393">
        <v>49</v>
      </c>
      <c r="N3393">
        <v>0</v>
      </c>
      <c r="O3393" s="1">
        <v>45581.471018518518</v>
      </c>
      <c r="P3393" t="s">
        <v>138</v>
      </c>
    </row>
    <row r="3394" spans="1:16" x14ac:dyDescent="0.3">
      <c r="A3394" t="s">
        <v>25</v>
      </c>
      <c r="B3394" s="1">
        <v>45581.471018518518</v>
      </c>
      <c r="C3394" t="str">
        <f>"41"</f>
        <v>41</v>
      </c>
      <c r="D3394" t="s">
        <v>120</v>
      </c>
      <c r="E3394" t="s">
        <v>116</v>
      </c>
      <c r="F3394" t="s">
        <v>117</v>
      </c>
      <c r="H3394" t="s">
        <v>869</v>
      </c>
      <c r="I3394" t="str">
        <f>"101050001894167"</f>
        <v>101050001894167</v>
      </c>
      <c r="J3394" t="str">
        <f>"42126"</f>
        <v>42126</v>
      </c>
      <c r="K3394" t="s">
        <v>79</v>
      </c>
      <c r="L3394">
        <v>49</v>
      </c>
      <c r="M3394">
        <v>49</v>
      </c>
      <c r="N3394">
        <v>0</v>
      </c>
      <c r="O3394" s="1">
        <v>45581.471018518518</v>
      </c>
      <c r="P3394" t="s">
        <v>138</v>
      </c>
    </row>
    <row r="3395" spans="1:16" x14ac:dyDescent="0.3">
      <c r="A3395" t="s">
        <v>25</v>
      </c>
      <c r="B3395" s="1">
        <v>45581.471018518518</v>
      </c>
      <c r="C3395" t="str">
        <f>"41"</f>
        <v>41</v>
      </c>
      <c r="D3395" t="s">
        <v>120</v>
      </c>
      <c r="E3395" t="s">
        <v>116</v>
      </c>
      <c r="F3395" t="s">
        <v>117</v>
      </c>
      <c r="H3395" t="s">
        <v>869</v>
      </c>
      <c r="I3395" t="str">
        <f>"101050001894196"</f>
        <v>101050001894196</v>
      </c>
      <c r="J3395" t="str">
        <f>"42126"</f>
        <v>42126</v>
      </c>
      <c r="K3395" t="s">
        <v>79</v>
      </c>
      <c r="L3395">
        <v>49</v>
      </c>
      <c r="M3395">
        <v>49</v>
      </c>
      <c r="N3395">
        <v>0</v>
      </c>
      <c r="O3395" s="1">
        <v>45581.471018518518</v>
      </c>
      <c r="P3395" t="s">
        <v>138</v>
      </c>
    </row>
    <row r="3396" spans="1:16" x14ac:dyDescent="0.3">
      <c r="A3396" t="s">
        <v>25</v>
      </c>
      <c r="B3396" s="1">
        <v>45581.471018518518</v>
      </c>
      <c r="C3396" t="str">
        <f>"41"</f>
        <v>41</v>
      </c>
      <c r="D3396" t="s">
        <v>120</v>
      </c>
      <c r="E3396" t="s">
        <v>116</v>
      </c>
      <c r="F3396" t="s">
        <v>117</v>
      </c>
      <c r="H3396" t="s">
        <v>869</v>
      </c>
      <c r="I3396" t="str">
        <f>"101050001893247"</f>
        <v>101050001893247</v>
      </c>
      <c r="J3396" t="str">
        <f>"42126"</f>
        <v>42126</v>
      </c>
      <c r="K3396" t="s">
        <v>79</v>
      </c>
      <c r="L3396">
        <v>49</v>
      </c>
      <c r="M3396">
        <v>49</v>
      </c>
      <c r="N3396">
        <v>0</v>
      </c>
      <c r="O3396" s="1">
        <v>45581.471018518518</v>
      </c>
      <c r="P3396" t="s">
        <v>138</v>
      </c>
    </row>
    <row r="3397" spans="1:16" x14ac:dyDescent="0.3">
      <c r="A3397" t="s">
        <v>25</v>
      </c>
      <c r="B3397" s="1">
        <v>45581.471712962964</v>
      </c>
      <c r="C3397" t="str">
        <f>"38"</f>
        <v>38</v>
      </c>
      <c r="D3397" t="s">
        <v>115</v>
      </c>
      <c r="E3397" t="s">
        <v>116</v>
      </c>
      <c r="F3397" t="s">
        <v>117</v>
      </c>
      <c r="H3397" t="s">
        <v>870</v>
      </c>
      <c r="L3397">
        <v>0</v>
      </c>
      <c r="M3397">
        <v>0</v>
      </c>
      <c r="N3397">
        <v>0</v>
      </c>
      <c r="O3397" s="1">
        <v>45581.471712962964</v>
      </c>
      <c r="P3397" t="s">
        <v>119</v>
      </c>
    </row>
    <row r="3398" spans="1:16" x14ac:dyDescent="0.3">
      <c r="A3398" t="s">
        <v>25</v>
      </c>
      <c r="B3398" s="1">
        <v>45581.471712962964</v>
      </c>
      <c r="C3398" t="str">
        <f>"41"</f>
        <v>41</v>
      </c>
      <c r="D3398" t="s">
        <v>120</v>
      </c>
      <c r="E3398" t="s">
        <v>116</v>
      </c>
      <c r="F3398" t="s">
        <v>117</v>
      </c>
      <c r="H3398" t="s">
        <v>870</v>
      </c>
      <c r="I3398" t="str">
        <f>"101570001091889"</f>
        <v>101570001091889</v>
      </c>
      <c r="J3398" t="str">
        <f>"125031"</f>
        <v>125031</v>
      </c>
      <c r="K3398" t="s">
        <v>38</v>
      </c>
      <c r="L3398">
        <v>49</v>
      </c>
      <c r="M3398">
        <v>49</v>
      </c>
      <c r="N3398">
        <v>0</v>
      </c>
      <c r="O3398" s="1">
        <v>45581.471712962964</v>
      </c>
      <c r="P3398" t="s">
        <v>119</v>
      </c>
    </row>
    <row r="3399" spans="1:16" x14ac:dyDescent="0.3">
      <c r="A3399" t="s">
        <v>25</v>
      </c>
      <c r="B3399" s="1">
        <v>45581.470324074071</v>
      </c>
      <c r="C3399" t="str">
        <f>"38"</f>
        <v>38</v>
      </c>
      <c r="D3399" t="s">
        <v>115</v>
      </c>
      <c r="E3399" t="s">
        <v>116</v>
      </c>
      <c r="F3399" t="s">
        <v>117</v>
      </c>
      <c r="H3399" t="s">
        <v>870</v>
      </c>
      <c r="L3399">
        <v>0</v>
      </c>
      <c r="M3399">
        <v>0</v>
      </c>
      <c r="N3399">
        <v>0</v>
      </c>
      <c r="O3399" s="1">
        <v>45581.470324074071</v>
      </c>
      <c r="P3399" t="s">
        <v>119</v>
      </c>
    </row>
    <row r="3400" spans="1:16" x14ac:dyDescent="0.3">
      <c r="A3400" t="s">
        <v>25</v>
      </c>
      <c r="B3400" s="1">
        <v>45581.470324074071</v>
      </c>
      <c r="C3400" t="str">
        <f>"41"</f>
        <v>41</v>
      </c>
      <c r="D3400" t="s">
        <v>120</v>
      </c>
      <c r="E3400" t="s">
        <v>116</v>
      </c>
      <c r="F3400" t="s">
        <v>117</v>
      </c>
      <c r="H3400" t="s">
        <v>870</v>
      </c>
      <c r="I3400" t="str">
        <f>"101570001091889"</f>
        <v>101570001091889</v>
      </c>
      <c r="J3400" t="str">
        <f>"125031"</f>
        <v>125031</v>
      </c>
      <c r="K3400" t="s">
        <v>38</v>
      </c>
      <c r="L3400">
        <v>49</v>
      </c>
      <c r="M3400">
        <v>49</v>
      </c>
      <c r="N3400">
        <v>0</v>
      </c>
      <c r="O3400" s="1">
        <v>45581.470324074071</v>
      </c>
      <c r="P3400" t="s">
        <v>119</v>
      </c>
    </row>
    <row r="3401" spans="1:16" x14ac:dyDescent="0.3">
      <c r="A3401" t="s">
        <v>25</v>
      </c>
      <c r="B3401" s="1">
        <v>45581.470046296294</v>
      </c>
      <c r="C3401" t="str">
        <f>"38"</f>
        <v>38</v>
      </c>
      <c r="D3401" t="s">
        <v>115</v>
      </c>
      <c r="E3401" t="s">
        <v>116</v>
      </c>
      <c r="F3401" t="s">
        <v>117</v>
      </c>
      <c r="H3401" t="s">
        <v>871</v>
      </c>
      <c r="L3401">
        <v>0</v>
      </c>
      <c r="M3401">
        <v>0</v>
      </c>
      <c r="N3401">
        <v>0</v>
      </c>
      <c r="O3401" s="1">
        <v>45581.470046296294</v>
      </c>
      <c r="P3401" t="s">
        <v>138</v>
      </c>
    </row>
    <row r="3402" spans="1:16" x14ac:dyDescent="0.3">
      <c r="A3402" t="s">
        <v>25</v>
      </c>
      <c r="B3402" s="1">
        <v>45581.470046296294</v>
      </c>
      <c r="C3402" t="str">
        <f>"41"</f>
        <v>41</v>
      </c>
      <c r="D3402" t="s">
        <v>120</v>
      </c>
      <c r="E3402" t="s">
        <v>116</v>
      </c>
      <c r="F3402" t="s">
        <v>117</v>
      </c>
      <c r="H3402" t="s">
        <v>871</v>
      </c>
      <c r="I3402" t="str">
        <f>"101050002008879"</f>
        <v>101050002008879</v>
      </c>
      <c r="J3402" t="str">
        <f>"31811"</f>
        <v>31811</v>
      </c>
      <c r="K3402" t="s">
        <v>17</v>
      </c>
      <c r="L3402">
        <v>49</v>
      </c>
      <c r="M3402">
        <v>49</v>
      </c>
      <c r="N3402">
        <v>0</v>
      </c>
      <c r="O3402" s="1">
        <v>45581.470046296294</v>
      </c>
      <c r="P3402" t="s">
        <v>138</v>
      </c>
    </row>
    <row r="3403" spans="1:16" x14ac:dyDescent="0.3">
      <c r="A3403" t="s">
        <v>25</v>
      </c>
      <c r="B3403" s="1">
        <v>45581.470011574071</v>
      </c>
      <c r="C3403" t="str">
        <f>"38"</f>
        <v>38</v>
      </c>
      <c r="D3403" t="s">
        <v>115</v>
      </c>
      <c r="E3403" t="s">
        <v>116</v>
      </c>
      <c r="F3403" t="s">
        <v>117</v>
      </c>
      <c r="H3403" t="s">
        <v>872</v>
      </c>
      <c r="L3403">
        <v>0</v>
      </c>
      <c r="M3403">
        <v>0</v>
      </c>
      <c r="N3403">
        <v>0</v>
      </c>
      <c r="O3403" s="1">
        <v>45581.470011574071</v>
      </c>
      <c r="P3403" t="s">
        <v>392</v>
      </c>
    </row>
    <row r="3404" spans="1:16" x14ac:dyDescent="0.3">
      <c r="A3404" t="s">
        <v>25</v>
      </c>
      <c r="B3404" s="1">
        <v>45581.470011574071</v>
      </c>
      <c r="C3404" t="str">
        <f t="shared" ref="C3404:C3410" si="625">"41"</f>
        <v>41</v>
      </c>
      <c r="D3404" t="s">
        <v>120</v>
      </c>
      <c r="E3404" t="s">
        <v>116</v>
      </c>
      <c r="F3404" t="s">
        <v>117</v>
      </c>
      <c r="H3404" t="s">
        <v>872</v>
      </c>
      <c r="I3404" t="str">
        <f>"101050002003173"</f>
        <v>101050002003173</v>
      </c>
      <c r="J3404" t="str">
        <f t="shared" ref="J3404:J3410" si="626">"514475"</f>
        <v>514475</v>
      </c>
      <c r="K3404" t="s">
        <v>23</v>
      </c>
      <c r="L3404">
        <v>49</v>
      </c>
      <c r="M3404">
        <v>49</v>
      </c>
      <c r="N3404">
        <v>0</v>
      </c>
      <c r="O3404" s="1">
        <v>45581.470011574071</v>
      </c>
      <c r="P3404" t="s">
        <v>392</v>
      </c>
    </row>
    <row r="3405" spans="1:16" x14ac:dyDescent="0.3">
      <c r="A3405" t="s">
        <v>25</v>
      </c>
      <c r="B3405" s="1">
        <v>45581.470011574071</v>
      </c>
      <c r="C3405" t="str">
        <f t="shared" si="625"/>
        <v>41</v>
      </c>
      <c r="D3405" t="s">
        <v>120</v>
      </c>
      <c r="E3405" t="s">
        <v>116</v>
      </c>
      <c r="F3405" t="s">
        <v>117</v>
      </c>
      <c r="H3405" t="s">
        <v>872</v>
      </c>
      <c r="I3405" t="str">
        <f>"101050002003293"</f>
        <v>101050002003293</v>
      </c>
      <c r="J3405" t="str">
        <f t="shared" si="626"/>
        <v>514475</v>
      </c>
      <c r="K3405" t="s">
        <v>23</v>
      </c>
      <c r="L3405">
        <v>49</v>
      </c>
      <c r="M3405">
        <v>49</v>
      </c>
      <c r="N3405">
        <v>0</v>
      </c>
      <c r="O3405" s="1">
        <v>45581.470011574071</v>
      </c>
      <c r="P3405" t="s">
        <v>392</v>
      </c>
    </row>
    <row r="3406" spans="1:16" x14ac:dyDescent="0.3">
      <c r="A3406" t="s">
        <v>25</v>
      </c>
      <c r="B3406" s="1">
        <v>45581.470011574071</v>
      </c>
      <c r="C3406" t="str">
        <f t="shared" si="625"/>
        <v>41</v>
      </c>
      <c r="D3406" t="s">
        <v>120</v>
      </c>
      <c r="E3406" t="s">
        <v>116</v>
      </c>
      <c r="F3406" t="s">
        <v>117</v>
      </c>
      <c r="H3406" t="s">
        <v>872</v>
      </c>
      <c r="I3406" t="str">
        <f>"101050001990530"</f>
        <v>101050001990530</v>
      </c>
      <c r="J3406" t="str">
        <f t="shared" si="626"/>
        <v>514475</v>
      </c>
      <c r="K3406" t="s">
        <v>23</v>
      </c>
      <c r="L3406">
        <v>49</v>
      </c>
      <c r="M3406">
        <v>49</v>
      </c>
      <c r="N3406">
        <v>0</v>
      </c>
      <c r="O3406" s="1">
        <v>45581.470011574071</v>
      </c>
      <c r="P3406" t="s">
        <v>392</v>
      </c>
    </row>
    <row r="3407" spans="1:16" x14ac:dyDescent="0.3">
      <c r="A3407" t="s">
        <v>25</v>
      </c>
      <c r="B3407" s="1">
        <v>45581.470011574071</v>
      </c>
      <c r="C3407" t="str">
        <f t="shared" si="625"/>
        <v>41</v>
      </c>
      <c r="D3407" t="s">
        <v>120</v>
      </c>
      <c r="E3407" t="s">
        <v>116</v>
      </c>
      <c r="F3407" t="s">
        <v>117</v>
      </c>
      <c r="H3407" t="s">
        <v>872</v>
      </c>
      <c r="I3407" t="str">
        <f>"101050001990351"</f>
        <v>101050001990351</v>
      </c>
      <c r="J3407" t="str">
        <f t="shared" si="626"/>
        <v>514475</v>
      </c>
      <c r="K3407" t="s">
        <v>23</v>
      </c>
      <c r="L3407">
        <v>49</v>
      </c>
      <c r="M3407">
        <v>49</v>
      </c>
      <c r="N3407">
        <v>0</v>
      </c>
      <c r="O3407" s="1">
        <v>45581.470011574071</v>
      </c>
      <c r="P3407" t="s">
        <v>392</v>
      </c>
    </row>
    <row r="3408" spans="1:16" x14ac:dyDescent="0.3">
      <c r="A3408" t="s">
        <v>25</v>
      </c>
      <c r="B3408" s="1">
        <v>45581.470011574071</v>
      </c>
      <c r="C3408" t="str">
        <f t="shared" si="625"/>
        <v>41</v>
      </c>
      <c r="D3408" t="s">
        <v>120</v>
      </c>
      <c r="E3408" t="s">
        <v>116</v>
      </c>
      <c r="F3408" t="s">
        <v>117</v>
      </c>
      <c r="H3408" t="s">
        <v>872</v>
      </c>
      <c r="I3408" t="str">
        <f>"101050001990417"</f>
        <v>101050001990417</v>
      </c>
      <c r="J3408" t="str">
        <f t="shared" si="626"/>
        <v>514475</v>
      </c>
      <c r="K3408" t="s">
        <v>23</v>
      </c>
      <c r="L3408">
        <v>49</v>
      </c>
      <c r="M3408">
        <v>49</v>
      </c>
      <c r="N3408">
        <v>0</v>
      </c>
      <c r="O3408" s="1">
        <v>45581.470011574071</v>
      </c>
      <c r="P3408" t="s">
        <v>392</v>
      </c>
    </row>
    <row r="3409" spans="1:16" x14ac:dyDescent="0.3">
      <c r="A3409" t="s">
        <v>25</v>
      </c>
      <c r="B3409" s="1">
        <v>45581.470011574071</v>
      </c>
      <c r="C3409" t="str">
        <f t="shared" si="625"/>
        <v>41</v>
      </c>
      <c r="D3409" t="s">
        <v>120</v>
      </c>
      <c r="E3409" t="s">
        <v>116</v>
      </c>
      <c r="F3409" t="s">
        <v>117</v>
      </c>
      <c r="H3409" t="s">
        <v>872</v>
      </c>
      <c r="I3409" t="str">
        <f>"101050001990750"</f>
        <v>101050001990750</v>
      </c>
      <c r="J3409" t="str">
        <f t="shared" si="626"/>
        <v>514475</v>
      </c>
      <c r="K3409" t="s">
        <v>23</v>
      </c>
      <c r="L3409">
        <v>49</v>
      </c>
      <c r="M3409">
        <v>49</v>
      </c>
      <c r="N3409">
        <v>0</v>
      </c>
      <c r="O3409" s="1">
        <v>45581.470011574071</v>
      </c>
      <c r="P3409" t="s">
        <v>392</v>
      </c>
    </row>
    <row r="3410" spans="1:16" x14ac:dyDescent="0.3">
      <c r="A3410" t="s">
        <v>25</v>
      </c>
      <c r="B3410" s="1">
        <v>45581.47</v>
      </c>
      <c r="C3410" t="str">
        <f t="shared" si="625"/>
        <v>41</v>
      </c>
      <c r="D3410" t="s">
        <v>120</v>
      </c>
      <c r="E3410" t="s">
        <v>116</v>
      </c>
      <c r="F3410" t="s">
        <v>117</v>
      </c>
      <c r="H3410" t="s">
        <v>872</v>
      </c>
      <c r="I3410" t="str">
        <f>"101050001990270"</f>
        <v>101050001990270</v>
      </c>
      <c r="J3410" t="str">
        <f t="shared" si="626"/>
        <v>514475</v>
      </c>
      <c r="K3410" t="s">
        <v>23</v>
      </c>
      <c r="L3410">
        <v>49</v>
      </c>
      <c r="M3410">
        <v>49</v>
      </c>
      <c r="N3410">
        <v>0</v>
      </c>
      <c r="O3410" s="1">
        <v>45581.47</v>
      </c>
      <c r="P3410" t="s">
        <v>392</v>
      </c>
    </row>
    <row r="3411" spans="1:16" x14ac:dyDescent="0.3">
      <c r="A3411" t="s">
        <v>25</v>
      </c>
      <c r="B3411" s="1">
        <v>45581.469861111109</v>
      </c>
      <c r="C3411" t="str">
        <f>"38"</f>
        <v>38</v>
      </c>
      <c r="D3411" t="s">
        <v>115</v>
      </c>
      <c r="E3411" t="s">
        <v>116</v>
      </c>
      <c r="F3411" t="s">
        <v>117</v>
      </c>
      <c r="H3411" t="s">
        <v>873</v>
      </c>
      <c r="L3411">
        <v>0</v>
      </c>
      <c r="M3411">
        <v>0</v>
      </c>
      <c r="N3411">
        <v>0</v>
      </c>
      <c r="O3411" s="1">
        <v>45581.469861111109</v>
      </c>
      <c r="P3411" t="s">
        <v>138</v>
      </c>
    </row>
    <row r="3412" spans="1:16" x14ac:dyDescent="0.3">
      <c r="A3412" t="s">
        <v>25</v>
      </c>
      <c r="B3412" s="1">
        <v>45581.469861111109</v>
      </c>
      <c r="C3412" t="str">
        <f t="shared" ref="C3412:C3418" si="627">"41"</f>
        <v>41</v>
      </c>
      <c r="D3412" t="s">
        <v>120</v>
      </c>
      <c r="E3412" t="s">
        <v>116</v>
      </c>
      <c r="F3412" t="s">
        <v>117</v>
      </c>
      <c r="H3412" t="s">
        <v>873</v>
      </c>
      <c r="I3412" t="str">
        <f>"101050001991870"</f>
        <v>101050001991870</v>
      </c>
      <c r="J3412" t="str">
        <f t="shared" ref="J3412:J3418" si="628">"514988"</f>
        <v>514988</v>
      </c>
      <c r="K3412" t="s">
        <v>94</v>
      </c>
      <c r="L3412">
        <v>49</v>
      </c>
      <c r="M3412">
        <v>49</v>
      </c>
      <c r="N3412">
        <v>0</v>
      </c>
      <c r="O3412" s="1">
        <v>45581.469861111109</v>
      </c>
      <c r="P3412" t="s">
        <v>138</v>
      </c>
    </row>
    <row r="3413" spans="1:16" x14ac:dyDescent="0.3">
      <c r="A3413" t="s">
        <v>25</v>
      </c>
      <c r="B3413" s="1">
        <v>45581.469861111109</v>
      </c>
      <c r="C3413" t="str">
        <f t="shared" si="627"/>
        <v>41</v>
      </c>
      <c r="D3413" t="s">
        <v>120</v>
      </c>
      <c r="E3413" t="s">
        <v>116</v>
      </c>
      <c r="F3413" t="s">
        <v>117</v>
      </c>
      <c r="H3413" t="s">
        <v>873</v>
      </c>
      <c r="I3413" t="str">
        <f>"101050001992107"</f>
        <v>101050001992107</v>
      </c>
      <c r="J3413" t="str">
        <f t="shared" si="628"/>
        <v>514988</v>
      </c>
      <c r="K3413" t="s">
        <v>94</v>
      </c>
      <c r="L3413">
        <v>49</v>
      </c>
      <c r="M3413">
        <v>49</v>
      </c>
      <c r="N3413">
        <v>0</v>
      </c>
      <c r="O3413" s="1">
        <v>45581.469861111109</v>
      </c>
      <c r="P3413" t="s">
        <v>138</v>
      </c>
    </row>
    <row r="3414" spans="1:16" x14ac:dyDescent="0.3">
      <c r="A3414" t="s">
        <v>25</v>
      </c>
      <c r="B3414" s="1">
        <v>45581.469861111109</v>
      </c>
      <c r="C3414" t="str">
        <f t="shared" si="627"/>
        <v>41</v>
      </c>
      <c r="D3414" t="s">
        <v>120</v>
      </c>
      <c r="E3414" t="s">
        <v>116</v>
      </c>
      <c r="F3414" t="s">
        <v>117</v>
      </c>
      <c r="H3414" t="s">
        <v>873</v>
      </c>
      <c r="I3414" t="str">
        <f>"101050001991111"</f>
        <v>101050001991111</v>
      </c>
      <c r="J3414" t="str">
        <f t="shared" si="628"/>
        <v>514988</v>
      </c>
      <c r="K3414" t="s">
        <v>94</v>
      </c>
      <c r="L3414">
        <v>49</v>
      </c>
      <c r="M3414">
        <v>49</v>
      </c>
      <c r="N3414">
        <v>0</v>
      </c>
      <c r="O3414" s="1">
        <v>45581.469861111109</v>
      </c>
      <c r="P3414" t="s">
        <v>138</v>
      </c>
    </row>
    <row r="3415" spans="1:16" x14ac:dyDescent="0.3">
      <c r="A3415" t="s">
        <v>25</v>
      </c>
      <c r="B3415" s="1">
        <v>45581.469861111109</v>
      </c>
      <c r="C3415" t="str">
        <f t="shared" si="627"/>
        <v>41</v>
      </c>
      <c r="D3415" t="s">
        <v>120</v>
      </c>
      <c r="E3415" t="s">
        <v>116</v>
      </c>
      <c r="F3415" t="s">
        <v>117</v>
      </c>
      <c r="H3415" t="s">
        <v>873</v>
      </c>
      <c r="I3415" t="str">
        <f>"101050001991112"</f>
        <v>101050001991112</v>
      </c>
      <c r="J3415" t="str">
        <f t="shared" si="628"/>
        <v>514988</v>
      </c>
      <c r="K3415" t="s">
        <v>94</v>
      </c>
      <c r="L3415">
        <v>49</v>
      </c>
      <c r="M3415">
        <v>49</v>
      </c>
      <c r="N3415">
        <v>0</v>
      </c>
      <c r="O3415" s="1">
        <v>45581.469861111109</v>
      </c>
      <c r="P3415" t="s">
        <v>138</v>
      </c>
    </row>
    <row r="3416" spans="1:16" x14ac:dyDescent="0.3">
      <c r="A3416" t="s">
        <v>25</v>
      </c>
      <c r="B3416" s="1">
        <v>45581.469861111109</v>
      </c>
      <c r="C3416" t="str">
        <f t="shared" si="627"/>
        <v>41</v>
      </c>
      <c r="D3416" t="s">
        <v>120</v>
      </c>
      <c r="E3416" t="s">
        <v>116</v>
      </c>
      <c r="F3416" t="s">
        <v>117</v>
      </c>
      <c r="H3416" t="s">
        <v>873</v>
      </c>
      <c r="I3416" t="str">
        <f>"101050001991294"</f>
        <v>101050001991294</v>
      </c>
      <c r="J3416" t="str">
        <f t="shared" si="628"/>
        <v>514988</v>
      </c>
      <c r="K3416" t="s">
        <v>94</v>
      </c>
      <c r="L3416">
        <v>49</v>
      </c>
      <c r="M3416">
        <v>49</v>
      </c>
      <c r="N3416">
        <v>0</v>
      </c>
      <c r="O3416" s="1">
        <v>45581.469861111109</v>
      </c>
      <c r="P3416" t="s">
        <v>138</v>
      </c>
    </row>
    <row r="3417" spans="1:16" x14ac:dyDescent="0.3">
      <c r="A3417" t="s">
        <v>25</v>
      </c>
      <c r="B3417" s="1">
        <v>45581.469861111109</v>
      </c>
      <c r="C3417" t="str">
        <f t="shared" si="627"/>
        <v>41</v>
      </c>
      <c r="D3417" t="s">
        <v>120</v>
      </c>
      <c r="E3417" t="s">
        <v>116</v>
      </c>
      <c r="F3417" t="s">
        <v>117</v>
      </c>
      <c r="H3417" t="s">
        <v>873</v>
      </c>
      <c r="I3417" t="str">
        <f>"101050001991291"</f>
        <v>101050001991291</v>
      </c>
      <c r="J3417" t="str">
        <f t="shared" si="628"/>
        <v>514988</v>
      </c>
      <c r="K3417" t="s">
        <v>94</v>
      </c>
      <c r="L3417">
        <v>49</v>
      </c>
      <c r="M3417">
        <v>49</v>
      </c>
      <c r="N3417">
        <v>0</v>
      </c>
      <c r="O3417" s="1">
        <v>45581.469861111109</v>
      </c>
      <c r="P3417" t="s">
        <v>138</v>
      </c>
    </row>
    <row r="3418" spans="1:16" x14ac:dyDescent="0.3">
      <c r="A3418" t="s">
        <v>25</v>
      </c>
      <c r="B3418" s="1">
        <v>45581.469861111109</v>
      </c>
      <c r="C3418" t="str">
        <f t="shared" si="627"/>
        <v>41</v>
      </c>
      <c r="D3418" t="s">
        <v>120</v>
      </c>
      <c r="E3418" t="s">
        <v>116</v>
      </c>
      <c r="F3418" t="s">
        <v>117</v>
      </c>
      <c r="H3418" t="s">
        <v>873</v>
      </c>
      <c r="I3418" t="str">
        <f>"101050001991114"</f>
        <v>101050001991114</v>
      </c>
      <c r="J3418" t="str">
        <f t="shared" si="628"/>
        <v>514988</v>
      </c>
      <c r="K3418" t="s">
        <v>94</v>
      </c>
      <c r="L3418">
        <v>49</v>
      </c>
      <c r="M3418">
        <v>49</v>
      </c>
      <c r="N3418">
        <v>0</v>
      </c>
      <c r="O3418" s="1">
        <v>45581.469861111109</v>
      </c>
      <c r="P3418" t="s">
        <v>138</v>
      </c>
    </row>
    <row r="3419" spans="1:16" x14ac:dyDescent="0.3">
      <c r="A3419" t="s">
        <v>25</v>
      </c>
      <c r="B3419" s="1">
        <v>45581.470092592594</v>
      </c>
      <c r="C3419" t="str">
        <f>"38"</f>
        <v>38</v>
      </c>
      <c r="D3419" t="s">
        <v>115</v>
      </c>
      <c r="E3419" t="s">
        <v>116</v>
      </c>
      <c r="F3419" t="s">
        <v>117</v>
      </c>
      <c r="H3419" t="s">
        <v>874</v>
      </c>
      <c r="L3419">
        <v>0</v>
      </c>
      <c r="M3419">
        <v>0</v>
      </c>
      <c r="N3419">
        <v>0</v>
      </c>
      <c r="O3419" s="1">
        <v>45581.470092592594</v>
      </c>
      <c r="P3419" t="s">
        <v>119</v>
      </c>
    </row>
    <row r="3420" spans="1:16" x14ac:dyDescent="0.3">
      <c r="A3420" t="s">
        <v>25</v>
      </c>
      <c r="B3420" s="1">
        <v>45581.470092592594</v>
      </c>
      <c r="C3420" t="str">
        <f t="shared" ref="C3420:C3426" si="629">"41"</f>
        <v>41</v>
      </c>
      <c r="D3420" t="s">
        <v>120</v>
      </c>
      <c r="E3420" t="s">
        <v>116</v>
      </c>
      <c r="F3420" t="s">
        <v>117</v>
      </c>
      <c r="H3420" t="s">
        <v>874</v>
      </c>
      <c r="I3420" t="str">
        <f>"101050002017788"</f>
        <v>101050002017788</v>
      </c>
      <c r="J3420" t="str">
        <f t="shared" ref="J3420:J3426" si="630">"127924"</f>
        <v>127924</v>
      </c>
      <c r="K3420" t="s">
        <v>3</v>
      </c>
      <c r="L3420">
        <v>49</v>
      </c>
      <c r="M3420">
        <v>49</v>
      </c>
      <c r="N3420">
        <v>0</v>
      </c>
      <c r="O3420" s="1">
        <v>45581.470092592594</v>
      </c>
      <c r="P3420" t="s">
        <v>119</v>
      </c>
    </row>
    <row r="3421" spans="1:16" x14ac:dyDescent="0.3">
      <c r="A3421" t="s">
        <v>25</v>
      </c>
      <c r="B3421" s="1">
        <v>45581.470081018517</v>
      </c>
      <c r="C3421" t="str">
        <f t="shared" si="629"/>
        <v>41</v>
      </c>
      <c r="D3421" t="s">
        <v>120</v>
      </c>
      <c r="E3421" t="s">
        <v>116</v>
      </c>
      <c r="F3421" t="s">
        <v>117</v>
      </c>
      <c r="H3421" t="s">
        <v>874</v>
      </c>
      <c r="I3421" t="str">
        <f>"101050002017787"</f>
        <v>101050002017787</v>
      </c>
      <c r="J3421" t="str">
        <f t="shared" si="630"/>
        <v>127924</v>
      </c>
      <c r="K3421" t="s">
        <v>3</v>
      </c>
      <c r="L3421">
        <v>49</v>
      </c>
      <c r="M3421">
        <v>49</v>
      </c>
      <c r="N3421">
        <v>0</v>
      </c>
      <c r="O3421" s="1">
        <v>45581.470081018517</v>
      </c>
      <c r="P3421" t="s">
        <v>119</v>
      </c>
    </row>
    <row r="3422" spans="1:16" x14ac:dyDescent="0.3">
      <c r="A3422" t="s">
        <v>25</v>
      </c>
      <c r="B3422" s="1">
        <v>45581.470081018517</v>
      </c>
      <c r="C3422" t="str">
        <f t="shared" si="629"/>
        <v>41</v>
      </c>
      <c r="D3422" t="s">
        <v>120</v>
      </c>
      <c r="E3422" t="s">
        <v>116</v>
      </c>
      <c r="F3422" t="s">
        <v>117</v>
      </c>
      <c r="H3422" t="s">
        <v>874</v>
      </c>
      <c r="I3422" t="str">
        <f>"101050002017345"</f>
        <v>101050002017345</v>
      </c>
      <c r="J3422" t="str">
        <f t="shared" si="630"/>
        <v>127924</v>
      </c>
      <c r="K3422" t="s">
        <v>3</v>
      </c>
      <c r="L3422">
        <v>49</v>
      </c>
      <c r="M3422">
        <v>49</v>
      </c>
      <c r="N3422">
        <v>0</v>
      </c>
      <c r="O3422" s="1">
        <v>45581.470081018517</v>
      </c>
      <c r="P3422" t="s">
        <v>119</v>
      </c>
    </row>
    <row r="3423" spans="1:16" x14ac:dyDescent="0.3">
      <c r="A3423" t="s">
        <v>25</v>
      </c>
      <c r="B3423" s="1">
        <v>45581.470081018517</v>
      </c>
      <c r="C3423" t="str">
        <f t="shared" si="629"/>
        <v>41</v>
      </c>
      <c r="D3423" t="s">
        <v>120</v>
      </c>
      <c r="E3423" t="s">
        <v>116</v>
      </c>
      <c r="F3423" t="s">
        <v>117</v>
      </c>
      <c r="H3423" t="s">
        <v>874</v>
      </c>
      <c r="I3423" t="str">
        <f>"101050002017603"</f>
        <v>101050002017603</v>
      </c>
      <c r="J3423" t="str">
        <f t="shared" si="630"/>
        <v>127924</v>
      </c>
      <c r="K3423" t="s">
        <v>3</v>
      </c>
      <c r="L3423">
        <v>49</v>
      </c>
      <c r="M3423">
        <v>49</v>
      </c>
      <c r="N3423">
        <v>0</v>
      </c>
      <c r="O3423" s="1">
        <v>45581.470081018517</v>
      </c>
      <c r="P3423" t="s">
        <v>119</v>
      </c>
    </row>
    <row r="3424" spans="1:16" x14ac:dyDescent="0.3">
      <c r="A3424" t="s">
        <v>25</v>
      </c>
      <c r="B3424" s="1">
        <v>45581.470081018517</v>
      </c>
      <c r="C3424" t="str">
        <f t="shared" si="629"/>
        <v>41</v>
      </c>
      <c r="D3424" t="s">
        <v>120</v>
      </c>
      <c r="E3424" t="s">
        <v>116</v>
      </c>
      <c r="F3424" t="s">
        <v>117</v>
      </c>
      <c r="H3424" t="s">
        <v>874</v>
      </c>
      <c r="I3424" t="str">
        <f>"101050002017602"</f>
        <v>101050002017602</v>
      </c>
      <c r="J3424" t="str">
        <f t="shared" si="630"/>
        <v>127924</v>
      </c>
      <c r="K3424" t="s">
        <v>3</v>
      </c>
      <c r="L3424">
        <v>49</v>
      </c>
      <c r="M3424">
        <v>49</v>
      </c>
      <c r="N3424">
        <v>0</v>
      </c>
      <c r="O3424" s="1">
        <v>45581.470081018517</v>
      </c>
      <c r="P3424" t="s">
        <v>119</v>
      </c>
    </row>
    <row r="3425" spans="1:16" x14ac:dyDescent="0.3">
      <c r="A3425" t="s">
        <v>25</v>
      </c>
      <c r="B3425" s="1">
        <v>45581.470081018517</v>
      </c>
      <c r="C3425" t="str">
        <f t="shared" si="629"/>
        <v>41</v>
      </c>
      <c r="D3425" t="s">
        <v>120</v>
      </c>
      <c r="E3425" t="s">
        <v>116</v>
      </c>
      <c r="F3425" t="s">
        <v>117</v>
      </c>
      <c r="H3425" t="s">
        <v>874</v>
      </c>
      <c r="I3425" t="str">
        <f>"101050002017789"</f>
        <v>101050002017789</v>
      </c>
      <c r="J3425" t="str">
        <f t="shared" si="630"/>
        <v>127924</v>
      </c>
      <c r="K3425" t="s">
        <v>3</v>
      </c>
      <c r="L3425">
        <v>49</v>
      </c>
      <c r="M3425">
        <v>49</v>
      </c>
      <c r="N3425">
        <v>0</v>
      </c>
      <c r="O3425" s="1">
        <v>45581.470081018517</v>
      </c>
      <c r="P3425" t="s">
        <v>119</v>
      </c>
    </row>
    <row r="3426" spans="1:16" x14ac:dyDescent="0.3">
      <c r="A3426" t="s">
        <v>25</v>
      </c>
      <c r="B3426" s="1">
        <v>45581.470081018517</v>
      </c>
      <c r="C3426" t="str">
        <f t="shared" si="629"/>
        <v>41</v>
      </c>
      <c r="D3426" t="s">
        <v>120</v>
      </c>
      <c r="E3426" t="s">
        <v>116</v>
      </c>
      <c r="F3426" t="s">
        <v>117</v>
      </c>
      <c r="H3426" t="s">
        <v>874</v>
      </c>
      <c r="I3426" t="str">
        <f>"101050002017604"</f>
        <v>101050002017604</v>
      </c>
      <c r="J3426" t="str">
        <f t="shared" si="630"/>
        <v>127924</v>
      </c>
      <c r="K3426" t="s">
        <v>3</v>
      </c>
      <c r="L3426">
        <v>49</v>
      </c>
      <c r="M3426">
        <v>49</v>
      </c>
      <c r="N3426">
        <v>0</v>
      </c>
      <c r="O3426" s="1">
        <v>45581.470081018517</v>
      </c>
      <c r="P3426" t="s">
        <v>119</v>
      </c>
    </row>
    <row r="3427" spans="1:16" x14ac:dyDescent="0.3">
      <c r="A3427" t="s">
        <v>25</v>
      </c>
      <c r="B3427" s="1">
        <v>45581.468321759261</v>
      </c>
      <c r="C3427" t="str">
        <f>"38"</f>
        <v>38</v>
      </c>
      <c r="D3427" t="s">
        <v>115</v>
      </c>
      <c r="E3427" t="s">
        <v>116</v>
      </c>
      <c r="F3427" t="s">
        <v>117</v>
      </c>
      <c r="H3427" t="s">
        <v>875</v>
      </c>
      <c r="L3427">
        <v>0</v>
      </c>
      <c r="M3427">
        <v>0</v>
      </c>
      <c r="N3427">
        <v>0</v>
      </c>
      <c r="O3427" s="1">
        <v>45581.468321759261</v>
      </c>
      <c r="P3427" t="s">
        <v>138</v>
      </c>
    </row>
    <row r="3428" spans="1:16" x14ac:dyDescent="0.3">
      <c r="A3428" t="s">
        <v>25</v>
      </c>
      <c r="B3428" s="1">
        <v>45581.468321759261</v>
      </c>
      <c r="C3428" t="str">
        <f t="shared" ref="C3428:C3434" si="631">"41"</f>
        <v>41</v>
      </c>
      <c r="D3428" t="s">
        <v>120</v>
      </c>
      <c r="E3428" t="s">
        <v>116</v>
      </c>
      <c r="F3428" t="s">
        <v>117</v>
      </c>
      <c r="H3428" t="s">
        <v>875</v>
      </c>
      <c r="I3428" t="str">
        <f>"101050002009014"</f>
        <v>101050002009014</v>
      </c>
      <c r="J3428" t="str">
        <f t="shared" ref="J3428:J3434" si="632">"128319"</f>
        <v>128319</v>
      </c>
      <c r="K3428" t="s">
        <v>65</v>
      </c>
      <c r="L3428">
        <v>49</v>
      </c>
      <c r="M3428">
        <v>49</v>
      </c>
      <c r="N3428">
        <v>0</v>
      </c>
      <c r="O3428" s="1">
        <v>45581.468321759261</v>
      </c>
      <c r="P3428" t="s">
        <v>138</v>
      </c>
    </row>
    <row r="3429" spans="1:16" x14ac:dyDescent="0.3">
      <c r="A3429" t="s">
        <v>25</v>
      </c>
      <c r="B3429" s="1">
        <v>45581.468321759261</v>
      </c>
      <c r="C3429" t="str">
        <f t="shared" si="631"/>
        <v>41</v>
      </c>
      <c r="D3429" t="s">
        <v>120</v>
      </c>
      <c r="E3429" t="s">
        <v>116</v>
      </c>
      <c r="F3429" t="s">
        <v>117</v>
      </c>
      <c r="H3429" t="s">
        <v>875</v>
      </c>
      <c r="I3429" t="str">
        <f>"101050002009196"</f>
        <v>101050002009196</v>
      </c>
      <c r="J3429" t="str">
        <f t="shared" si="632"/>
        <v>128319</v>
      </c>
      <c r="K3429" t="s">
        <v>65</v>
      </c>
      <c r="L3429">
        <v>49</v>
      </c>
      <c r="M3429">
        <v>49</v>
      </c>
      <c r="N3429">
        <v>0</v>
      </c>
      <c r="O3429" s="1">
        <v>45581.468321759261</v>
      </c>
      <c r="P3429" t="s">
        <v>138</v>
      </c>
    </row>
    <row r="3430" spans="1:16" x14ac:dyDescent="0.3">
      <c r="A3430" t="s">
        <v>25</v>
      </c>
      <c r="B3430" s="1">
        <v>45581.468321759261</v>
      </c>
      <c r="C3430" t="str">
        <f t="shared" si="631"/>
        <v>41</v>
      </c>
      <c r="D3430" t="s">
        <v>120</v>
      </c>
      <c r="E3430" t="s">
        <v>116</v>
      </c>
      <c r="F3430" t="s">
        <v>117</v>
      </c>
      <c r="H3430" t="s">
        <v>875</v>
      </c>
      <c r="I3430" t="str">
        <f>"101050002008927"</f>
        <v>101050002008927</v>
      </c>
      <c r="J3430" t="str">
        <f t="shared" si="632"/>
        <v>128319</v>
      </c>
      <c r="K3430" t="s">
        <v>65</v>
      </c>
      <c r="L3430">
        <v>49</v>
      </c>
      <c r="M3430">
        <v>49</v>
      </c>
      <c r="N3430">
        <v>0</v>
      </c>
      <c r="O3430" s="1">
        <v>45581.468321759261</v>
      </c>
      <c r="P3430" t="s">
        <v>138</v>
      </c>
    </row>
    <row r="3431" spans="1:16" x14ac:dyDescent="0.3">
      <c r="A3431" t="s">
        <v>25</v>
      </c>
      <c r="B3431" s="1">
        <v>45581.468321759261</v>
      </c>
      <c r="C3431" t="str">
        <f t="shared" si="631"/>
        <v>41</v>
      </c>
      <c r="D3431" t="s">
        <v>120</v>
      </c>
      <c r="E3431" t="s">
        <v>116</v>
      </c>
      <c r="F3431" t="s">
        <v>117</v>
      </c>
      <c r="H3431" t="s">
        <v>875</v>
      </c>
      <c r="I3431" t="str">
        <f>"101050002009195"</f>
        <v>101050002009195</v>
      </c>
      <c r="J3431" t="str">
        <f t="shared" si="632"/>
        <v>128319</v>
      </c>
      <c r="K3431" t="s">
        <v>65</v>
      </c>
      <c r="L3431">
        <v>49</v>
      </c>
      <c r="M3431">
        <v>49</v>
      </c>
      <c r="N3431">
        <v>0</v>
      </c>
      <c r="O3431" s="1">
        <v>45581.468321759261</v>
      </c>
      <c r="P3431" t="s">
        <v>138</v>
      </c>
    </row>
    <row r="3432" spans="1:16" x14ac:dyDescent="0.3">
      <c r="A3432" t="s">
        <v>25</v>
      </c>
      <c r="B3432" s="1">
        <v>45581.468310185184</v>
      </c>
      <c r="C3432" t="str">
        <f t="shared" si="631"/>
        <v>41</v>
      </c>
      <c r="D3432" t="s">
        <v>120</v>
      </c>
      <c r="E3432" t="s">
        <v>116</v>
      </c>
      <c r="F3432" t="s">
        <v>117</v>
      </c>
      <c r="H3432" t="s">
        <v>875</v>
      </c>
      <c r="I3432" t="str">
        <f>"101050002008603"</f>
        <v>101050002008603</v>
      </c>
      <c r="J3432" t="str">
        <f t="shared" si="632"/>
        <v>128319</v>
      </c>
      <c r="K3432" t="s">
        <v>65</v>
      </c>
      <c r="L3432">
        <v>49</v>
      </c>
      <c r="M3432">
        <v>49</v>
      </c>
      <c r="N3432">
        <v>0</v>
      </c>
      <c r="O3432" s="1">
        <v>45581.468310185184</v>
      </c>
      <c r="P3432" t="s">
        <v>138</v>
      </c>
    </row>
    <row r="3433" spans="1:16" x14ac:dyDescent="0.3">
      <c r="A3433" t="s">
        <v>25</v>
      </c>
      <c r="B3433" s="1">
        <v>45581.468310185184</v>
      </c>
      <c r="C3433" t="str">
        <f t="shared" si="631"/>
        <v>41</v>
      </c>
      <c r="D3433" t="s">
        <v>120</v>
      </c>
      <c r="E3433" t="s">
        <v>116</v>
      </c>
      <c r="F3433" t="s">
        <v>117</v>
      </c>
      <c r="H3433" t="s">
        <v>875</v>
      </c>
      <c r="I3433" t="str">
        <f>"101050002008399"</f>
        <v>101050002008399</v>
      </c>
      <c r="J3433" t="str">
        <f t="shared" si="632"/>
        <v>128319</v>
      </c>
      <c r="K3433" t="s">
        <v>65</v>
      </c>
      <c r="L3433">
        <v>49</v>
      </c>
      <c r="M3433">
        <v>49</v>
      </c>
      <c r="N3433">
        <v>0</v>
      </c>
      <c r="O3433" s="1">
        <v>45581.468310185184</v>
      </c>
      <c r="P3433" t="s">
        <v>138</v>
      </c>
    </row>
    <row r="3434" spans="1:16" x14ac:dyDescent="0.3">
      <c r="A3434" t="s">
        <v>25</v>
      </c>
      <c r="B3434" s="1">
        <v>45581.468310185184</v>
      </c>
      <c r="C3434" t="str">
        <f t="shared" si="631"/>
        <v>41</v>
      </c>
      <c r="D3434" t="s">
        <v>120</v>
      </c>
      <c r="E3434" t="s">
        <v>116</v>
      </c>
      <c r="F3434" t="s">
        <v>117</v>
      </c>
      <c r="H3434" t="s">
        <v>875</v>
      </c>
      <c r="I3434" t="str">
        <f>"101050002008178"</f>
        <v>101050002008178</v>
      </c>
      <c r="J3434" t="str">
        <f t="shared" si="632"/>
        <v>128319</v>
      </c>
      <c r="K3434" t="s">
        <v>65</v>
      </c>
      <c r="L3434">
        <v>49</v>
      </c>
      <c r="M3434">
        <v>49</v>
      </c>
      <c r="N3434">
        <v>0</v>
      </c>
      <c r="O3434" s="1">
        <v>45581.468310185184</v>
      </c>
      <c r="P3434" t="s">
        <v>138</v>
      </c>
    </row>
    <row r="3435" spans="1:16" x14ac:dyDescent="0.3">
      <c r="A3435" t="s">
        <v>25</v>
      </c>
      <c r="B3435" s="1">
        <v>45581.467719907407</v>
      </c>
      <c r="C3435" t="str">
        <f>"38"</f>
        <v>38</v>
      </c>
      <c r="D3435" t="s">
        <v>115</v>
      </c>
      <c r="E3435" t="s">
        <v>116</v>
      </c>
      <c r="F3435" t="s">
        <v>117</v>
      </c>
      <c r="H3435" t="s">
        <v>876</v>
      </c>
      <c r="L3435">
        <v>0</v>
      </c>
      <c r="M3435">
        <v>0</v>
      </c>
      <c r="N3435">
        <v>0</v>
      </c>
      <c r="O3435" s="1">
        <v>45581.467719907407</v>
      </c>
      <c r="P3435" t="s">
        <v>122</v>
      </c>
    </row>
    <row r="3436" spans="1:16" x14ac:dyDescent="0.3">
      <c r="A3436" t="s">
        <v>25</v>
      </c>
      <c r="B3436" s="1">
        <v>45581.467638888891</v>
      </c>
      <c r="C3436" t="str">
        <f>"38"</f>
        <v>38</v>
      </c>
      <c r="D3436" t="s">
        <v>115</v>
      </c>
      <c r="E3436" t="s">
        <v>116</v>
      </c>
      <c r="F3436" t="s">
        <v>117</v>
      </c>
      <c r="H3436" t="s">
        <v>877</v>
      </c>
      <c r="L3436">
        <v>0</v>
      </c>
      <c r="M3436">
        <v>0</v>
      </c>
      <c r="N3436">
        <v>0</v>
      </c>
      <c r="O3436" s="1">
        <v>45581.467638888891</v>
      </c>
      <c r="P3436" t="s">
        <v>122</v>
      </c>
    </row>
    <row r="3437" spans="1:16" x14ac:dyDescent="0.3">
      <c r="A3437" t="s">
        <v>25</v>
      </c>
      <c r="B3437" s="1">
        <v>45581.467546296299</v>
      </c>
      <c r="C3437" t="str">
        <f>"38"</f>
        <v>38</v>
      </c>
      <c r="D3437" t="s">
        <v>115</v>
      </c>
      <c r="E3437" t="s">
        <v>116</v>
      </c>
      <c r="F3437" t="s">
        <v>117</v>
      </c>
      <c r="H3437" t="s">
        <v>878</v>
      </c>
      <c r="L3437">
        <v>0</v>
      </c>
      <c r="M3437">
        <v>0</v>
      </c>
      <c r="N3437">
        <v>0</v>
      </c>
      <c r="O3437" s="1">
        <v>45581.467546296299</v>
      </c>
      <c r="P3437" t="s">
        <v>122</v>
      </c>
    </row>
    <row r="3438" spans="1:16" x14ac:dyDescent="0.3">
      <c r="A3438" t="s">
        <v>25</v>
      </c>
      <c r="B3438" s="1">
        <v>45581.467476851853</v>
      </c>
      <c r="C3438" t="str">
        <f>"38"</f>
        <v>38</v>
      </c>
      <c r="D3438" t="s">
        <v>115</v>
      </c>
      <c r="E3438" t="s">
        <v>116</v>
      </c>
      <c r="F3438" t="s">
        <v>117</v>
      </c>
      <c r="H3438" t="s">
        <v>879</v>
      </c>
      <c r="L3438">
        <v>0</v>
      </c>
      <c r="M3438">
        <v>0</v>
      </c>
      <c r="N3438">
        <v>0</v>
      </c>
      <c r="O3438" s="1">
        <v>45581.467476851853</v>
      </c>
      <c r="P3438" t="s">
        <v>122</v>
      </c>
    </row>
    <row r="3439" spans="1:16" x14ac:dyDescent="0.3">
      <c r="A3439" t="s">
        <v>25</v>
      </c>
      <c r="B3439" s="1">
        <v>45581.46738425926</v>
      </c>
      <c r="C3439" t="str">
        <f>"38"</f>
        <v>38</v>
      </c>
      <c r="D3439" t="s">
        <v>115</v>
      </c>
      <c r="E3439" t="s">
        <v>116</v>
      </c>
      <c r="F3439" t="s">
        <v>117</v>
      </c>
      <c r="H3439" t="s">
        <v>880</v>
      </c>
      <c r="L3439">
        <v>0</v>
      </c>
      <c r="M3439">
        <v>0</v>
      </c>
      <c r="N3439">
        <v>0</v>
      </c>
      <c r="O3439" s="1">
        <v>45581.46738425926</v>
      </c>
      <c r="P3439" t="s">
        <v>122</v>
      </c>
    </row>
    <row r="3440" spans="1:16" x14ac:dyDescent="0.3">
      <c r="A3440" t="s">
        <v>25</v>
      </c>
      <c r="B3440" s="1">
        <v>45581.46738425926</v>
      </c>
      <c r="C3440" t="str">
        <f>"41"</f>
        <v>41</v>
      </c>
      <c r="D3440" t="s">
        <v>120</v>
      </c>
      <c r="E3440" t="s">
        <v>116</v>
      </c>
      <c r="F3440" t="s">
        <v>117</v>
      </c>
      <c r="H3440" t="s">
        <v>880</v>
      </c>
      <c r="I3440" t="str">
        <f>"101050002014773"</f>
        <v>101050002014773</v>
      </c>
      <c r="J3440" t="str">
        <f>"31090"</f>
        <v>31090</v>
      </c>
      <c r="K3440" t="s">
        <v>76</v>
      </c>
      <c r="L3440">
        <v>49</v>
      </c>
      <c r="M3440">
        <v>49</v>
      </c>
      <c r="N3440">
        <v>0</v>
      </c>
      <c r="O3440" s="1">
        <v>45581.46738425926</v>
      </c>
      <c r="P3440" t="s">
        <v>122</v>
      </c>
    </row>
    <row r="3441" spans="1:16" x14ac:dyDescent="0.3">
      <c r="A3441" t="s">
        <v>25</v>
      </c>
      <c r="B3441" s="1">
        <v>45581.46738425926</v>
      </c>
      <c r="C3441" t="str">
        <f>"41"</f>
        <v>41</v>
      </c>
      <c r="D3441" t="s">
        <v>120</v>
      </c>
      <c r="E3441" t="s">
        <v>116</v>
      </c>
      <c r="F3441" t="s">
        <v>117</v>
      </c>
      <c r="H3441" t="s">
        <v>880</v>
      </c>
      <c r="I3441" t="str">
        <f>"101050002014788"</f>
        <v>101050002014788</v>
      </c>
      <c r="J3441" t="str">
        <f>"31090"</f>
        <v>31090</v>
      </c>
      <c r="K3441" t="s">
        <v>76</v>
      </c>
      <c r="L3441">
        <v>49</v>
      </c>
      <c r="M3441">
        <v>49</v>
      </c>
      <c r="N3441">
        <v>0</v>
      </c>
      <c r="O3441" s="1">
        <v>45581.46738425926</v>
      </c>
      <c r="P3441" t="s">
        <v>122</v>
      </c>
    </row>
    <row r="3442" spans="1:16" x14ac:dyDescent="0.3">
      <c r="A3442" t="s">
        <v>25</v>
      </c>
      <c r="B3442" s="1">
        <v>45581.46738425926</v>
      </c>
      <c r="C3442" t="str">
        <f>"41"</f>
        <v>41</v>
      </c>
      <c r="D3442" t="s">
        <v>120</v>
      </c>
      <c r="E3442" t="s">
        <v>116</v>
      </c>
      <c r="F3442" t="s">
        <v>117</v>
      </c>
      <c r="H3442" t="s">
        <v>880</v>
      </c>
      <c r="I3442" t="str">
        <f>"101050002014797"</f>
        <v>101050002014797</v>
      </c>
      <c r="J3442" t="str">
        <f>"31090"</f>
        <v>31090</v>
      </c>
      <c r="K3442" t="s">
        <v>76</v>
      </c>
      <c r="L3442">
        <v>49</v>
      </c>
      <c r="M3442">
        <v>49</v>
      </c>
      <c r="N3442">
        <v>0</v>
      </c>
      <c r="O3442" s="1">
        <v>45581.46738425926</v>
      </c>
      <c r="P3442" t="s">
        <v>122</v>
      </c>
    </row>
    <row r="3443" spans="1:16" x14ac:dyDescent="0.3">
      <c r="A3443" t="s">
        <v>25</v>
      </c>
      <c r="B3443" s="1">
        <v>45581.46738425926</v>
      </c>
      <c r="C3443" t="str">
        <f>"41"</f>
        <v>41</v>
      </c>
      <c r="D3443" t="s">
        <v>120</v>
      </c>
      <c r="E3443" t="s">
        <v>116</v>
      </c>
      <c r="F3443" t="s">
        <v>117</v>
      </c>
      <c r="H3443" t="s">
        <v>880</v>
      </c>
      <c r="I3443" t="str">
        <f>"101050002014798"</f>
        <v>101050002014798</v>
      </c>
      <c r="J3443" t="str">
        <f>"31090"</f>
        <v>31090</v>
      </c>
      <c r="K3443" t="s">
        <v>76</v>
      </c>
      <c r="L3443">
        <v>49</v>
      </c>
      <c r="M3443">
        <v>49</v>
      </c>
      <c r="N3443">
        <v>0</v>
      </c>
      <c r="O3443" s="1">
        <v>45581.46738425926</v>
      </c>
      <c r="P3443" t="s">
        <v>122</v>
      </c>
    </row>
    <row r="3444" spans="1:16" x14ac:dyDescent="0.3">
      <c r="A3444" t="s">
        <v>25</v>
      </c>
      <c r="B3444" s="1">
        <v>45581.46738425926</v>
      </c>
      <c r="C3444" t="str">
        <f>"41"</f>
        <v>41</v>
      </c>
      <c r="D3444" t="s">
        <v>120</v>
      </c>
      <c r="E3444" t="s">
        <v>116</v>
      </c>
      <c r="F3444" t="s">
        <v>117</v>
      </c>
      <c r="H3444" t="s">
        <v>880</v>
      </c>
      <c r="I3444" t="str">
        <f>"101050002014784"</f>
        <v>101050002014784</v>
      </c>
      <c r="J3444" t="str">
        <f>"31090"</f>
        <v>31090</v>
      </c>
      <c r="K3444" t="s">
        <v>76</v>
      </c>
      <c r="L3444">
        <v>49</v>
      </c>
      <c r="M3444">
        <v>49</v>
      </c>
      <c r="N3444">
        <v>0</v>
      </c>
      <c r="O3444" s="1">
        <v>45581.46738425926</v>
      </c>
      <c r="P3444" t="s">
        <v>122</v>
      </c>
    </row>
    <row r="3445" spans="1:16" x14ac:dyDescent="0.3">
      <c r="A3445" t="s">
        <v>25</v>
      </c>
      <c r="B3445" s="1">
        <v>45581.466956018521</v>
      </c>
      <c r="C3445" t="str">
        <f>"38"</f>
        <v>38</v>
      </c>
      <c r="D3445" t="s">
        <v>115</v>
      </c>
      <c r="E3445" t="s">
        <v>116</v>
      </c>
      <c r="F3445" t="s">
        <v>117</v>
      </c>
      <c r="H3445" t="s">
        <v>881</v>
      </c>
      <c r="L3445">
        <v>0</v>
      </c>
      <c r="M3445">
        <v>0</v>
      </c>
      <c r="N3445">
        <v>0</v>
      </c>
      <c r="O3445" s="1">
        <v>45581.466956018521</v>
      </c>
      <c r="P3445" t="s">
        <v>392</v>
      </c>
    </row>
    <row r="3446" spans="1:16" x14ac:dyDescent="0.3">
      <c r="A3446" t="s">
        <v>25</v>
      </c>
      <c r="B3446" s="1">
        <v>45581.466956018521</v>
      </c>
      <c r="C3446" t="str">
        <f t="shared" ref="C3446:C3452" si="633">"41"</f>
        <v>41</v>
      </c>
      <c r="D3446" t="s">
        <v>120</v>
      </c>
      <c r="E3446" t="s">
        <v>116</v>
      </c>
      <c r="F3446" t="s">
        <v>117</v>
      </c>
      <c r="H3446" t="s">
        <v>881</v>
      </c>
      <c r="I3446" t="str">
        <f>"101050002020457"</f>
        <v>101050002020457</v>
      </c>
      <c r="J3446" t="str">
        <f t="shared" ref="J3446:J3452" si="634">"514719"</f>
        <v>514719</v>
      </c>
      <c r="K3446" t="s">
        <v>0</v>
      </c>
      <c r="L3446">
        <v>49</v>
      </c>
      <c r="M3446">
        <v>49</v>
      </c>
      <c r="N3446">
        <v>0</v>
      </c>
      <c r="O3446" s="1">
        <v>45581.466956018521</v>
      </c>
      <c r="P3446" t="s">
        <v>392</v>
      </c>
    </row>
    <row r="3447" spans="1:16" x14ac:dyDescent="0.3">
      <c r="A3447" t="s">
        <v>25</v>
      </c>
      <c r="B3447" s="1">
        <v>45581.466956018521</v>
      </c>
      <c r="C3447" t="str">
        <f t="shared" si="633"/>
        <v>41</v>
      </c>
      <c r="D3447" t="s">
        <v>120</v>
      </c>
      <c r="E3447" t="s">
        <v>116</v>
      </c>
      <c r="F3447" t="s">
        <v>117</v>
      </c>
      <c r="H3447" t="s">
        <v>881</v>
      </c>
      <c r="I3447" t="str">
        <f>"101050002020114"</f>
        <v>101050002020114</v>
      </c>
      <c r="J3447" t="str">
        <f t="shared" si="634"/>
        <v>514719</v>
      </c>
      <c r="K3447" t="s">
        <v>0</v>
      </c>
      <c r="L3447">
        <v>49</v>
      </c>
      <c r="M3447">
        <v>49</v>
      </c>
      <c r="N3447">
        <v>0</v>
      </c>
      <c r="O3447" s="1">
        <v>45581.466956018521</v>
      </c>
      <c r="P3447" t="s">
        <v>392</v>
      </c>
    </row>
    <row r="3448" spans="1:16" x14ac:dyDescent="0.3">
      <c r="A3448" t="s">
        <v>25</v>
      </c>
      <c r="B3448" s="1">
        <v>45581.466944444444</v>
      </c>
      <c r="C3448" t="str">
        <f t="shared" si="633"/>
        <v>41</v>
      </c>
      <c r="D3448" t="s">
        <v>120</v>
      </c>
      <c r="E3448" t="s">
        <v>116</v>
      </c>
      <c r="F3448" t="s">
        <v>117</v>
      </c>
      <c r="H3448" t="s">
        <v>881</v>
      </c>
      <c r="I3448" t="str">
        <f>"101050002020458"</f>
        <v>101050002020458</v>
      </c>
      <c r="J3448" t="str">
        <f t="shared" si="634"/>
        <v>514719</v>
      </c>
      <c r="K3448" t="s">
        <v>0</v>
      </c>
      <c r="L3448">
        <v>49</v>
      </c>
      <c r="M3448">
        <v>49</v>
      </c>
      <c r="N3448">
        <v>0</v>
      </c>
      <c r="O3448" s="1">
        <v>45581.466944444444</v>
      </c>
      <c r="P3448" t="s">
        <v>392</v>
      </c>
    </row>
    <row r="3449" spans="1:16" x14ac:dyDescent="0.3">
      <c r="A3449" t="s">
        <v>25</v>
      </c>
      <c r="B3449" s="1">
        <v>45581.466944444444</v>
      </c>
      <c r="C3449" t="str">
        <f t="shared" si="633"/>
        <v>41</v>
      </c>
      <c r="D3449" t="s">
        <v>120</v>
      </c>
      <c r="E3449" t="s">
        <v>116</v>
      </c>
      <c r="F3449" t="s">
        <v>117</v>
      </c>
      <c r="H3449" t="s">
        <v>881</v>
      </c>
      <c r="I3449" t="str">
        <f>"101050002020362"</f>
        <v>101050002020362</v>
      </c>
      <c r="J3449" t="str">
        <f t="shared" si="634"/>
        <v>514719</v>
      </c>
      <c r="K3449" t="s">
        <v>0</v>
      </c>
      <c r="L3449">
        <v>49</v>
      </c>
      <c r="M3449">
        <v>49</v>
      </c>
      <c r="N3449">
        <v>0</v>
      </c>
      <c r="O3449" s="1">
        <v>45581.466944444444</v>
      </c>
      <c r="P3449" t="s">
        <v>392</v>
      </c>
    </row>
    <row r="3450" spans="1:16" x14ac:dyDescent="0.3">
      <c r="A3450" t="s">
        <v>25</v>
      </c>
      <c r="B3450" s="1">
        <v>45581.466944444444</v>
      </c>
      <c r="C3450" t="str">
        <f t="shared" si="633"/>
        <v>41</v>
      </c>
      <c r="D3450" t="s">
        <v>120</v>
      </c>
      <c r="E3450" t="s">
        <v>116</v>
      </c>
      <c r="F3450" t="s">
        <v>117</v>
      </c>
      <c r="H3450" t="s">
        <v>881</v>
      </c>
      <c r="I3450" t="str">
        <f>"101050002020610"</f>
        <v>101050002020610</v>
      </c>
      <c r="J3450" t="str">
        <f t="shared" si="634"/>
        <v>514719</v>
      </c>
      <c r="K3450" t="s">
        <v>0</v>
      </c>
      <c r="L3450">
        <v>49</v>
      </c>
      <c r="M3450">
        <v>49</v>
      </c>
      <c r="N3450">
        <v>0</v>
      </c>
      <c r="O3450" s="1">
        <v>45581.466944444444</v>
      </c>
      <c r="P3450" t="s">
        <v>392</v>
      </c>
    </row>
    <row r="3451" spans="1:16" x14ac:dyDescent="0.3">
      <c r="A3451" t="s">
        <v>25</v>
      </c>
      <c r="B3451" s="1">
        <v>45581.466944444444</v>
      </c>
      <c r="C3451" t="str">
        <f t="shared" si="633"/>
        <v>41</v>
      </c>
      <c r="D3451" t="s">
        <v>120</v>
      </c>
      <c r="E3451" t="s">
        <v>116</v>
      </c>
      <c r="F3451" t="s">
        <v>117</v>
      </c>
      <c r="H3451" t="s">
        <v>881</v>
      </c>
      <c r="I3451" t="str">
        <f>"101050002020464"</f>
        <v>101050002020464</v>
      </c>
      <c r="J3451" t="str">
        <f t="shared" si="634"/>
        <v>514719</v>
      </c>
      <c r="K3451" t="s">
        <v>0</v>
      </c>
      <c r="L3451">
        <v>49</v>
      </c>
      <c r="M3451">
        <v>49</v>
      </c>
      <c r="N3451">
        <v>0</v>
      </c>
      <c r="O3451" s="1">
        <v>45581.466944444444</v>
      </c>
      <c r="P3451" t="s">
        <v>392</v>
      </c>
    </row>
    <row r="3452" spans="1:16" x14ac:dyDescent="0.3">
      <c r="A3452" t="s">
        <v>25</v>
      </c>
      <c r="B3452" s="1">
        <v>45581.466944444444</v>
      </c>
      <c r="C3452" t="str">
        <f t="shared" si="633"/>
        <v>41</v>
      </c>
      <c r="D3452" t="s">
        <v>120</v>
      </c>
      <c r="E3452" t="s">
        <v>116</v>
      </c>
      <c r="F3452" t="s">
        <v>117</v>
      </c>
      <c r="H3452" t="s">
        <v>881</v>
      </c>
      <c r="I3452" t="str">
        <f>"101050002020292"</f>
        <v>101050002020292</v>
      </c>
      <c r="J3452" t="str">
        <f t="shared" si="634"/>
        <v>514719</v>
      </c>
      <c r="K3452" t="s">
        <v>0</v>
      </c>
      <c r="L3452">
        <v>49</v>
      </c>
      <c r="M3452">
        <v>49</v>
      </c>
      <c r="N3452">
        <v>0</v>
      </c>
      <c r="O3452" s="1">
        <v>45581.466944444444</v>
      </c>
      <c r="P3452" t="s">
        <v>392</v>
      </c>
    </row>
    <row r="3453" spans="1:16" x14ac:dyDescent="0.3">
      <c r="A3453" t="s">
        <v>25</v>
      </c>
      <c r="B3453" s="1">
        <v>45581.466666666667</v>
      </c>
      <c r="C3453" t="str">
        <f>"38"</f>
        <v>38</v>
      </c>
      <c r="D3453" t="s">
        <v>115</v>
      </c>
      <c r="E3453" t="s">
        <v>116</v>
      </c>
      <c r="F3453" t="s">
        <v>117</v>
      </c>
      <c r="H3453" t="s">
        <v>882</v>
      </c>
      <c r="L3453">
        <v>0</v>
      </c>
      <c r="M3453">
        <v>0</v>
      </c>
      <c r="N3453">
        <v>0</v>
      </c>
      <c r="O3453" s="1">
        <v>45581.466666666667</v>
      </c>
      <c r="P3453" t="s">
        <v>119</v>
      </c>
    </row>
    <row r="3454" spans="1:16" x14ac:dyDescent="0.3">
      <c r="A3454" t="s">
        <v>25</v>
      </c>
      <c r="B3454" s="1">
        <v>45581.466666666667</v>
      </c>
      <c r="C3454" t="str">
        <f>"41"</f>
        <v>41</v>
      </c>
      <c r="D3454" t="s">
        <v>120</v>
      </c>
      <c r="E3454" t="s">
        <v>116</v>
      </c>
      <c r="F3454" t="s">
        <v>117</v>
      </c>
      <c r="H3454" t="s">
        <v>882</v>
      </c>
      <c r="I3454" t="str">
        <f>"101050002011841"</f>
        <v>101050002011841</v>
      </c>
      <c r="J3454" t="str">
        <f>"127802"</f>
        <v>127802</v>
      </c>
      <c r="K3454" t="s">
        <v>6</v>
      </c>
      <c r="L3454">
        <v>91</v>
      </c>
      <c r="M3454">
        <v>91</v>
      </c>
      <c r="N3454">
        <v>0</v>
      </c>
      <c r="O3454" s="1">
        <v>45581.466666666667</v>
      </c>
      <c r="P3454" t="s">
        <v>119</v>
      </c>
    </row>
    <row r="3455" spans="1:16" x14ac:dyDescent="0.3">
      <c r="A3455" t="s">
        <v>25</v>
      </c>
      <c r="B3455" s="1">
        <v>45581.466203703705</v>
      </c>
      <c r="C3455" t="str">
        <f>"38"</f>
        <v>38</v>
      </c>
      <c r="D3455" t="s">
        <v>115</v>
      </c>
      <c r="E3455" t="s">
        <v>116</v>
      </c>
      <c r="F3455" t="s">
        <v>117</v>
      </c>
      <c r="H3455" t="s">
        <v>883</v>
      </c>
      <c r="L3455">
        <v>0</v>
      </c>
      <c r="M3455">
        <v>0</v>
      </c>
      <c r="N3455">
        <v>0</v>
      </c>
      <c r="O3455" s="1">
        <v>45581.466203703705</v>
      </c>
      <c r="P3455" t="s">
        <v>392</v>
      </c>
    </row>
    <row r="3456" spans="1:16" x14ac:dyDescent="0.3">
      <c r="A3456" t="s">
        <v>25</v>
      </c>
      <c r="B3456" s="1">
        <v>45581.466203703705</v>
      </c>
      <c r="C3456" t="str">
        <f t="shared" ref="C3456:C3462" si="635">"41"</f>
        <v>41</v>
      </c>
      <c r="D3456" t="s">
        <v>120</v>
      </c>
      <c r="E3456" t="s">
        <v>116</v>
      </c>
      <c r="F3456" t="s">
        <v>117</v>
      </c>
      <c r="H3456" t="s">
        <v>883</v>
      </c>
      <c r="I3456" t="str">
        <f>"101050001981093"</f>
        <v>101050001981093</v>
      </c>
      <c r="J3456" t="str">
        <f t="shared" ref="J3456:J3462" si="636">"126473"</f>
        <v>126473</v>
      </c>
      <c r="K3456" t="s">
        <v>46</v>
      </c>
      <c r="L3456">
        <v>49</v>
      </c>
      <c r="M3456">
        <v>49</v>
      </c>
      <c r="N3456">
        <v>0</v>
      </c>
      <c r="O3456" s="1">
        <v>45581.466203703705</v>
      </c>
      <c r="P3456" t="s">
        <v>392</v>
      </c>
    </row>
    <row r="3457" spans="1:16" x14ac:dyDescent="0.3">
      <c r="A3457" t="s">
        <v>25</v>
      </c>
      <c r="B3457" s="1">
        <v>45581.466203703705</v>
      </c>
      <c r="C3457" t="str">
        <f t="shared" si="635"/>
        <v>41</v>
      </c>
      <c r="D3457" t="s">
        <v>120</v>
      </c>
      <c r="E3457" t="s">
        <v>116</v>
      </c>
      <c r="F3457" t="s">
        <v>117</v>
      </c>
      <c r="H3457" t="s">
        <v>883</v>
      </c>
      <c r="I3457" t="str">
        <f>"101050001981464"</f>
        <v>101050001981464</v>
      </c>
      <c r="J3457" t="str">
        <f t="shared" si="636"/>
        <v>126473</v>
      </c>
      <c r="K3457" t="s">
        <v>46</v>
      </c>
      <c r="L3457">
        <v>49</v>
      </c>
      <c r="M3457">
        <v>49</v>
      </c>
      <c r="N3457">
        <v>0</v>
      </c>
      <c r="O3457" s="1">
        <v>45581.466203703705</v>
      </c>
      <c r="P3457" t="s">
        <v>392</v>
      </c>
    </row>
    <row r="3458" spans="1:16" x14ac:dyDescent="0.3">
      <c r="A3458" t="s">
        <v>25</v>
      </c>
      <c r="B3458" s="1">
        <v>45581.466192129628</v>
      </c>
      <c r="C3458" t="str">
        <f t="shared" si="635"/>
        <v>41</v>
      </c>
      <c r="D3458" t="s">
        <v>120</v>
      </c>
      <c r="E3458" t="s">
        <v>116</v>
      </c>
      <c r="F3458" t="s">
        <v>117</v>
      </c>
      <c r="H3458" t="s">
        <v>883</v>
      </c>
      <c r="I3458" t="str">
        <f>"101050001981619"</f>
        <v>101050001981619</v>
      </c>
      <c r="J3458" t="str">
        <f t="shared" si="636"/>
        <v>126473</v>
      </c>
      <c r="K3458" t="s">
        <v>46</v>
      </c>
      <c r="L3458">
        <v>49</v>
      </c>
      <c r="M3458">
        <v>49</v>
      </c>
      <c r="N3458">
        <v>0</v>
      </c>
      <c r="O3458" s="1">
        <v>45581.466192129628</v>
      </c>
      <c r="P3458" t="s">
        <v>392</v>
      </c>
    </row>
    <row r="3459" spans="1:16" x14ac:dyDescent="0.3">
      <c r="A3459" t="s">
        <v>25</v>
      </c>
      <c r="B3459" s="1">
        <v>45581.466192129628</v>
      </c>
      <c r="C3459" t="str">
        <f t="shared" si="635"/>
        <v>41</v>
      </c>
      <c r="D3459" t="s">
        <v>120</v>
      </c>
      <c r="E3459" t="s">
        <v>116</v>
      </c>
      <c r="F3459" t="s">
        <v>117</v>
      </c>
      <c r="H3459" t="s">
        <v>883</v>
      </c>
      <c r="I3459" t="str">
        <f>"101050001981615"</f>
        <v>101050001981615</v>
      </c>
      <c r="J3459" t="str">
        <f t="shared" si="636"/>
        <v>126473</v>
      </c>
      <c r="K3459" t="s">
        <v>46</v>
      </c>
      <c r="L3459">
        <v>49</v>
      </c>
      <c r="M3459">
        <v>49</v>
      </c>
      <c r="N3459">
        <v>0</v>
      </c>
      <c r="O3459" s="1">
        <v>45581.466192129628</v>
      </c>
      <c r="P3459" t="s">
        <v>392</v>
      </c>
    </row>
    <row r="3460" spans="1:16" x14ac:dyDescent="0.3">
      <c r="A3460" t="s">
        <v>25</v>
      </c>
      <c r="B3460" s="1">
        <v>45581.466192129628</v>
      </c>
      <c r="C3460" t="str">
        <f t="shared" si="635"/>
        <v>41</v>
      </c>
      <c r="D3460" t="s">
        <v>120</v>
      </c>
      <c r="E3460" t="s">
        <v>116</v>
      </c>
      <c r="F3460" t="s">
        <v>117</v>
      </c>
      <c r="H3460" t="s">
        <v>883</v>
      </c>
      <c r="I3460" t="str">
        <f>"101050001981610"</f>
        <v>101050001981610</v>
      </c>
      <c r="J3460" t="str">
        <f t="shared" si="636"/>
        <v>126473</v>
      </c>
      <c r="K3460" t="s">
        <v>46</v>
      </c>
      <c r="L3460">
        <v>49</v>
      </c>
      <c r="M3460">
        <v>49</v>
      </c>
      <c r="N3460">
        <v>0</v>
      </c>
      <c r="O3460" s="1">
        <v>45581.466192129628</v>
      </c>
      <c r="P3460" t="s">
        <v>392</v>
      </c>
    </row>
    <row r="3461" spans="1:16" x14ac:dyDescent="0.3">
      <c r="A3461" t="s">
        <v>25</v>
      </c>
      <c r="B3461" s="1">
        <v>45581.466192129628</v>
      </c>
      <c r="C3461" t="str">
        <f t="shared" si="635"/>
        <v>41</v>
      </c>
      <c r="D3461" t="s">
        <v>120</v>
      </c>
      <c r="E3461" t="s">
        <v>116</v>
      </c>
      <c r="F3461" t="s">
        <v>117</v>
      </c>
      <c r="H3461" t="s">
        <v>883</v>
      </c>
      <c r="I3461" t="str">
        <f>"101050001981467"</f>
        <v>101050001981467</v>
      </c>
      <c r="J3461" t="str">
        <f t="shared" si="636"/>
        <v>126473</v>
      </c>
      <c r="K3461" t="s">
        <v>46</v>
      </c>
      <c r="L3461">
        <v>49</v>
      </c>
      <c r="M3461">
        <v>49</v>
      </c>
      <c r="N3461">
        <v>0</v>
      </c>
      <c r="O3461" s="1">
        <v>45581.466192129628</v>
      </c>
      <c r="P3461" t="s">
        <v>392</v>
      </c>
    </row>
    <row r="3462" spans="1:16" x14ac:dyDescent="0.3">
      <c r="A3462" t="s">
        <v>25</v>
      </c>
      <c r="B3462" s="1">
        <v>45581.466192129628</v>
      </c>
      <c r="C3462" t="str">
        <f t="shared" si="635"/>
        <v>41</v>
      </c>
      <c r="D3462" t="s">
        <v>120</v>
      </c>
      <c r="E3462" t="s">
        <v>116</v>
      </c>
      <c r="F3462" t="s">
        <v>117</v>
      </c>
      <c r="H3462" t="s">
        <v>883</v>
      </c>
      <c r="I3462" t="str">
        <f>"101050001981466"</f>
        <v>101050001981466</v>
      </c>
      <c r="J3462" t="str">
        <f t="shared" si="636"/>
        <v>126473</v>
      </c>
      <c r="K3462" t="s">
        <v>46</v>
      </c>
      <c r="L3462">
        <v>49</v>
      </c>
      <c r="M3462">
        <v>49</v>
      </c>
      <c r="N3462">
        <v>0</v>
      </c>
      <c r="O3462" s="1">
        <v>45581.466192129628</v>
      </c>
      <c r="P3462" t="s">
        <v>392</v>
      </c>
    </row>
    <row r="3463" spans="1:16" x14ac:dyDescent="0.3">
      <c r="A3463" t="s">
        <v>25</v>
      </c>
      <c r="B3463" s="1">
        <v>45581.465752314813</v>
      </c>
      <c r="C3463" t="str">
        <f>"38"</f>
        <v>38</v>
      </c>
      <c r="D3463" t="s">
        <v>115</v>
      </c>
      <c r="E3463" t="s">
        <v>116</v>
      </c>
      <c r="F3463" t="s">
        <v>117</v>
      </c>
      <c r="H3463" t="s">
        <v>884</v>
      </c>
      <c r="L3463">
        <v>0</v>
      </c>
      <c r="M3463">
        <v>0</v>
      </c>
      <c r="N3463">
        <v>0</v>
      </c>
      <c r="O3463" s="1">
        <v>45581.465752314813</v>
      </c>
      <c r="P3463" t="s">
        <v>138</v>
      </c>
    </row>
    <row r="3464" spans="1:16" x14ac:dyDescent="0.3">
      <c r="A3464" t="s">
        <v>25</v>
      </c>
      <c r="B3464" s="1">
        <v>45581.465752314813</v>
      </c>
      <c r="C3464" t="str">
        <f>"41"</f>
        <v>41</v>
      </c>
      <c r="D3464" t="s">
        <v>120</v>
      </c>
      <c r="E3464" t="s">
        <v>116</v>
      </c>
      <c r="F3464" t="s">
        <v>117</v>
      </c>
      <c r="H3464" t="s">
        <v>884</v>
      </c>
      <c r="I3464" t="str">
        <f>"101050002000970"</f>
        <v>101050002000970</v>
      </c>
      <c r="J3464" t="str">
        <f>"514846"</f>
        <v>514846</v>
      </c>
      <c r="K3464" t="s">
        <v>18</v>
      </c>
      <c r="L3464">
        <v>49</v>
      </c>
      <c r="M3464">
        <v>49</v>
      </c>
      <c r="N3464">
        <v>0</v>
      </c>
      <c r="O3464" s="1">
        <v>45581.465752314813</v>
      </c>
      <c r="P3464" t="s">
        <v>138</v>
      </c>
    </row>
    <row r="3465" spans="1:16" x14ac:dyDescent="0.3">
      <c r="A3465" t="s">
        <v>25</v>
      </c>
      <c r="B3465" s="1">
        <v>45581.465752314813</v>
      </c>
      <c r="C3465" t="str">
        <f>"41"</f>
        <v>41</v>
      </c>
      <c r="D3465" t="s">
        <v>120</v>
      </c>
      <c r="E3465" t="s">
        <v>116</v>
      </c>
      <c r="F3465" t="s">
        <v>117</v>
      </c>
      <c r="H3465" t="s">
        <v>884</v>
      </c>
      <c r="I3465" t="str">
        <f>"101050002001533"</f>
        <v>101050002001533</v>
      </c>
      <c r="J3465" t="str">
        <f>"514846"</f>
        <v>514846</v>
      </c>
      <c r="K3465" t="s">
        <v>18</v>
      </c>
      <c r="L3465">
        <v>49</v>
      </c>
      <c r="M3465">
        <v>49</v>
      </c>
      <c r="N3465">
        <v>0</v>
      </c>
      <c r="O3465" s="1">
        <v>45581.465752314813</v>
      </c>
      <c r="P3465" t="s">
        <v>138</v>
      </c>
    </row>
    <row r="3466" spans="1:16" x14ac:dyDescent="0.3">
      <c r="A3466" t="s">
        <v>25</v>
      </c>
      <c r="B3466" s="1">
        <v>45581.465752314813</v>
      </c>
      <c r="C3466" t="str">
        <f>"41"</f>
        <v>41</v>
      </c>
      <c r="D3466" t="s">
        <v>120</v>
      </c>
      <c r="E3466" t="s">
        <v>116</v>
      </c>
      <c r="F3466" t="s">
        <v>117</v>
      </c>
      <c r="H3466" t="s">
        <v>884</v>
      </c>
      <c r="I3466" t="str">
        <f>"101050002000569"</f>
        <v>101050002000569</v>
      </c>
      <c r="J3466" t="str">
        <f>"514846"</f>
        <v>514846</v>
      </c>
      <c r="K3466" t="s">
        <v>18</v>
      </c>
      <c r="L3466">
        <v>49</v>
      </c>
      <c r="M3466">
        <v>49</v>
      </c>
      <c r="N3466">
        <v>0</v>
      </c>
      <c r="O3466" s="1">
        <v>45581.465752314813</v>
      </c>
      <c r="P3466" t="s">
        <v>138</v>
      </c>
    </row>
    <row r="3467" spans="1:16" x14ac:dyDescent="0.3">
      <c r="A3467" t="s">
        <v>25</v>
      </c>
      <c r="B3467" s="1">
        <v>45581.465740740743</v>
      </c>
      <c r="C3467" t="str">
        <f>"41"</f>
        <v>41</v>
      </c>
      <c r="D3467" t="s">
        <v>120</v>
      </c>
      <c r="E3467" t="s">
        <v>116</v>
      </c>
      <c r="F3467" t="s">
        <v>117</v>
      </c>
      <c r="H3467" t="s">
        <v>884</v>
      </c>
      <c r="I3467" t="str">
        <f>"101050002001051"</f>
        <v>101050002001051</v>
      </c>
      <c r="J3467" t="str">
        <f>"514846"</f>
        <v>514846</v>
      </c>
      <c r="K3467" t="s">
        <v>18</v>
      </c>
      <c r="L3467">
        <v>49</v>
      </c>
      <c r="M3467">
        <v>49</v>
      </c>
      <c r="N3467">
        <v>0</v>
      </c>
      <c r="O3467" s="1">
        <v>45581.465740740743</v>
      </c>
      <c r="P3467" t="s">
        <v>138</v>
      </c>
    </row>
    <row r="3468" spans="1:16" x14ac:dyDescent="0.3">
      <c r="A3468" t="s">
        <v>25</v>
      </c>
      <c r="B3468" s="1">
        <v>45581.465740740743</v>
      </c>
      <c r="C3468" t="str">
        <f>"41"</f>
        <v>41</v>
      </c>
      <c r="D3468" t="s">
        <v>120</v>
      </c>
      <c r="E3468" t="s">
        <v>116</v>
      </c>
      <c r="F3468" t="s">
        <v>117</v>
      </c>
      <c r="H3468" t="s">
        <v>884</v>
      </c>
      <c r="I3468" t="str">
        <f>"101050002001130"</f>
        <v>101050002001130</v>
      </c>
      <c r="J3468" t="str">
        <f>"514846"</f>
        <v>514846</v>
      </c>
      <c r="K3468" t="s">
        <v>18</v>
      </c>
      <c r="L3468">
        <v>49</v>
      </c>
      <c r="M3468">
        <v>49</v>
      </c>
      <c r="N3468">
        <v>0</v>
      </c>
      <c r="O3468" s="1">
        <v>45581.465740740743</v>
      </c>
      <c r="P3468" t="s">
        <v>138</v>
      </c>
    </row>
    <row r="3469" spans="1:16" x14ac:dyDescent="0.3">
      <c r="A3469" t="s">
        <v>25</v>
      </c>
      <c r="B3469" s="1">
        <v>45581.465196759258</v>
      </c>
      <c r="C3469" t="str">
        <f>"38"</f>
        <v>38</v>
      </c>
      <c r="D3469" t="s">
        <v>115</v>
      </c>
      <c r="E3469" t="s">
        <v>116</v>
      </c>
      <c r="F3469" t="s">
        <v>117</v>
      </c>
      <c r="H3469" t="s">
        <v>885</v>
      </c>
      <c r="L3469">
        <v>0</v>
      </c>
      <c r="M3469">
        <v>0</v>
      </c>
      <c r="N3469">
        <v>0</v>
      </c>
      <c r="O3469" s="1">
        <v>45581.465196759258</v>
      </c>
      <c r="P3469" t="s">
        <v>138</v>
      </c>
    </row>
    <row r="3470" spans="1:16" x14ac:dyDescent="0.3">
      <c r="A3470" t="s">
        <v>25</v>
      </c>
      <c r="B3470" s="1">
        <v>45581.464884259258</v>
      </c>
      <c r="C3470" t="str">
        <f>"38"</f>
        <v>38</v>
      </c>
      <c r="D3470" t="s">
        <v>115</v>
      </c>
      <c r="E3470" t="s">
        <v>116</v>
      </c>
      <c r="F3470" t="s">
        <v>117</v>
      </c>
      <c r="H3470" t="s">
        <v>886</v>
      </c>
      <c r="L3470">
        <v>0</v>
      </c>
      <c r="M3470">
        <v>0</v>
      </c>
      <c r="N3470">
        <v>0</v>
      </c>
      <c r="O3470" s="1">
        <v>45581.464884259258</v>
      </c>
      <c r="P3470" t="s">
        <v>138</v>
      </c>
    </row>
    <row r="3471" spans="1:16" x14ac:dyDescent="0.3">
      <c r="A3471" t="s">
        <v>25</v>
      </c>
      <c r="B3471" s="1">
        <v>45581.464884259258</v>
      </c>
      <c r="C3471" t="str">
        <f t="shared" ref="C3471:C3476" si="637">"41"</f>
        <v>41</v>
      </c>
      <c r="D3471" t="s">
        <v>120</v>
      </c>
      <c r="E3471" t="s">
        <v>116</v>
      </c>
      <c r="F3471" t="s">
        <v>117</v>
      </c>
      <c r="H3471" t="s">
        <v>886</v>
      </c>
      <c r="I3471" t="str">
        <f>"101050002003950"</f>
        <v>101050002003950</v>
      </c>
      <c r="J3471" t="str">
        <f t="shared" ref="J3471:J3476" si="638">"0800"</f>
        <v>0800</v>
      </c>
      <c r="K3471" t="s">
        <v>26</v>
      </c>
      <c r="L3471">
        <v>49</v>
      </c>
      <c r="M3471">
        <v>49</v>
      </c>
      <c r="N3471">
        <v>0</v>
      </c>
      <c r="O3471" s="1">
        <v>45581.464884259258</v>
      </c>
      <c r="P3471" t="s">
        <v>138</v>
      </c>
    </row>
    <row r="3472" spans="1:16" x14ac:dyDescent="0.3">
      <c r="A3472" t="s">
        <v>25</v>
      </c>
      <c r="B3472" s="1">
        <v>45581.464884259258</v>
      </c>
      <c r="C3472" t="str">
        <f t="shared" si="637"/>
        <v>41</v>
      </c>
      <c r="D3472" t="s">
        <v>120</v>
      </c>
      <c r="E3472" t="s">
        <v>116</v>
      </c>
      <c r="F3472" t="s">
        <v>117</v>
      </c>
      <c r="H3472" t="s">
        <v>886</v>
      </c>
      <c r="I3472" t="str">
        <f>"101050002003953"</f>
        <v>101050002003953</v>
      </c>
      <c r="J3472" t="str">
        <f t="shared" si="638"/>
        <v>0800</v>
      </c>
      <c r="K3472" t="s">
        <v>26</v>
      </c>
      <c r="L3472">
        <v>49</v>
      </c>
      <c r="M3472">
        <v>49</v>
      </c>
      <c r="N3472">
        <v>0</v>
      </c>
      <c r="O3472" s="1">
        <v>45581.464884259258</v>
      </c>
      <c r="P3472" t="s">
        <v>138</v>
      </c>
    </row>
    <row r="3473" spans="1:16" x14ac:dyDescent="0.3">
      <c r="A3473" t="s">
        <v>25</v>
      </c>
      <c r="B3473" s="1">
        <v>45581.464872685188</v>
      </c>
      <c r="C3473" t="str">
        <f t="shared" si="637"/>
        <v>41</v>
      </c>
      <c r="D3473" t="s">
        <v>120</v>
      </c>
      <c r="E3473" t="s">
        <v>116</v>
      </c>
      <c r="F3473" t="s">
        <v>117</v>
      </c>
      <c r="H3473" t="s">
        <v>886</v>
      </c>
      <c r="I3473" t="str">
        <f>"101050002002960"</f>
        <v>101050002002960</v>
      </c>
      <c r="J3473" t="str">
        <f t="shared" si="638"/>
        <v>0800</v>
      </c>
      <c r="K3473" t="s">
        <v>26</v>
      </c>
      <c r="L3473">
        <v>49</v>
      </c>
      <c r="M3473">
        <v>49</v>
      </c>
      <c r="N3473">
        <v>0</v>
      </c>
      <c r="O3473" s="1">
        <v>45581.464872685188</v>
      </c>
      <c r="P3473" t="s">
        <v>138</v>
      </c>
    </row>
    <row r="3474" spans="1:16" x14ac:dyDescent="0.3">
      <c r="A3474" t="s">
        <v>25</v>
      </c>
      <c r="B3474" s="1">
        <v>45581.464872685188</v>
      </c>
      <c r="C3474" t="str">
        <f t="shared" si="637"/>
        <v>41</v>
      </c>
      <c r="D3474" t="s">
        <v>120</v>
      </c>
      <c r="E3474" t="s">
        <v>116</v>
      </c>
      <c r="F3474" t="s">
        <v>117</v>
      </c>
      <c r="H3474" t="s">
        <v>886</v>
      </c>
      <c r="I3474" t="str">
        <f>"101050002002961"</f>
        <v>101050002002961</v>
      </c>
      <c r="J3474" t="str">
        <f t="shared" si="638"/>
        <v>0800</v>
      </c>
      <c r="K3474" t="s">
        <v>26</v>
      </c>
      <c r="L3474">
        <v>49</v>
      </c>
      <c r="M3474">
        <v>49</v>
      </c>
      <c r="N3474">
        <v>0</v>
      </c>
      <c r="O3474" s="1">
        <v>45581.464872685188</v>
      </c>
      <c r="P3474" t="s">
        <v>138</v>
      </c>
    </row>
    <row r="3475" spans="1:16" x14ac:dyDescent="0.3">
      <c r="A3475" t="s">
        <v>25</v>
      </c>
      <c r="B3475" s="1">
        <v>45581.464872685188</v>
      </c>
      <c r="C3475" t="str">
        <f t="shared" si="637"/>
        <v>41</v>
      </c>
      <c r="D3475" t="s">
        <v>120</v>
      </c>
      <c r="E3475" t="s">
        <v>116</v>
      </c>
      <c r="F3475" t="s">
        <v>117</v>
      </c>
      <c r="H3475" t="s">
        <v>886</v>
      </c>
      <c r="I3475" t="str">
        <f>"101050002003514"</f>
        <v>101050002003514</v>
      </c>
      <c r="J3475" t="str">
        <f t="shared" si="638"/>
        <v>0800</v>
      </c>
      <c r="K3475" t="s">
        <v>26</v>
      </c>
      <c r="L3475">
        <v>49</v>
      </c>
      <c r="M3475">
        <v>49</v>
      </c>
      <c r="N3475">
        <v>0</v>
      </c>
      <c r="O3475" s="1">
        <v>45581.464872685188</v>
      </c>
      <c r="P3475" t="s">
        <v>138</v>
      </c>
    </row>
    <row r="3476" spans="1:16" x14ac:dyDescent="0.3">
      <c r="A3476" t="s">
        <v>25</v>
      </c>
      <c r="B3476" s="1">
        <v>45581.464872685188</v>
      </c>
      <c r="C3476" t="str">
        <f t="shared" si="637"/>
        <v>41</v>
      </c>
      <c r="D3476" t="s">
        <v>120</v>
      </c>
      <c r="E3476" t="s">
        <v>116</v>
      </c>
      <c r="F3476" t="s">
        <v>117</v>
      </c>
      <c r="H3476" t="s">
        <v>886</v>
      </c>
      <c r="I3476" t="str">
        <f>"101050002003952"</f>
        <v>101050002003952</v>
      </c>
      <c r="J3476" t="str">
        <f t="shared" si="638"/>
        <v>0800</v>
      </c>
      <c r="K3476" t="s">
        <v>26</v>
      </c>
      <c r="L3476">
        <v>49</v>
      </c>
      <c r="M3476">
        <v>49</v>
      </c>
      <c r="N3476">
        <v>0</v>
      </c>
      <c r="O3476" s="1">
        <v>45581.464872685188</v>
      </c>
      <c r="P3476" t="s">
        <v>138</v>
      </c>
    </row>
    <row r="3477" spans="1:16" x14ac:dyDescent="0.3">
      <c r="A3477" t="s">
        <v>25</v>
      </c>
      <c r="B3477" s="1">
        <v>45581.464849537035</v>
      </c>
      <c r="C3477" t="str">
        <f>"38"</f>
        <v>38</v>
      </c>
      <c r="D3477" t="s">
        <v>115</v>
      </c>
      <c r="E3477" t="s">
        <v>116</v>
      </c>
      <c r="F3477" t="s">
        <v>117</v>
      </c>
      <c r="H3477" t="s">
        <v>887</v>
      </c>
      <c r="L3477">
        <v>0</v>
      </c>
      <c r="M3477">
        <v>0</v>
      </c>
      <c r="N3477">
        <v>0</v>
      </c>
      <c r="O3477" s="1">
        <v>45581.464849537035</v>
      </c>
      <c r="P3477" t="s">
        <v>392</v>
      </c>
    </row>
    <row r="3478" spans="1:16" x14ac:dyDescent="0.3">
      <c r="A3478" t="s">
        <v>25</v>
      </c>
      <c r="B3478" s="1">
        <v>45581.464849537035</v>
      </c>
      <c r="C3478" t="str">
        <f t="shared" ref="C3478:C3484" si="639">"41"</f>
        <v>41</v>
      </c>
      <c r="D3478" t="s">
        <v>120</v>
      </c>
      <c r="E3478" t="s">
        <v>116</v>
      </c>
      <c r="F3478" t="s">
        <v>117</v>
      </c>
      <c r="H3478" t="s">
        <v>887</v>
      </c>
      <c r="I3478" t="str">
        <f>"101050002021571"</f>
        <v>101050002021571</v>
      </c>
      <c r="J3478" t="str">
        <f t="shared" ref="J3478:J3484" si="640">"127924"</f>
        <v>127924</v>
      </c>
      <c r="K3478" t="s">
        <v>3</v>
      </c>
      <c r="L3478">
        <v>49</v>
      </c>
      <c r="M3478">
        <v>49</v>
      </c>
      <c r="N3478">
        <v>0</v>
      </c>
      <c r="O3478" s="1">
        <v>45581.464849537035</v>
      </c>
      <c r="P3478" t="s">
        <v>392</v>
      </c>
    </row>
    <row r="3479" spans="1:16" x14ac:dyDescent="0.3">
      <c r="A3479" t="s">
        <v>25</v>
      </c>
      <c r="B3479" s="1">
        <v>45581.464837962965</v>
      </c>
      <c r="C3479" t="str">
        <f t="shared" si="639"/>
        <v>41</v>
      </c>
      <c r="D3479" t="s">
        <v>120</v>
      </c>
      <c r="E3479" t="s">
        <v>116</v>
      </c>
      <c r="F3479" t="s">
        <v>117</v>
      </c>
      <c r="H3479" t="s">
        <v>887</v>
      </c>
      <c r="I3479" t="str">
        <f>"101050002020305"</f>
        <v>101050002020305</v>
      </c>
      <c r="J3479" t="str">
        <f t="shared" si="640"/>
        <v>127924</v>
      </c>
      <c r="K3479" t="s">
        <v>3</v>
      </c>
      <c r="L3479">
        <v>49</v>
      </c>
      <c r="M3479">
        <v>49</v>
      </c>
      <c r="N3479">
        <v>0</v>
      </c>
      <c r="O3479" s="1">
        <v>45581.464837962965</v>
      </c>
      <c r="P3479" t="s">
        <v>392</v>
      </c>
    </row>
    <row r="3480" spans="1:16" x14ac:dyDescent="0.3">
      <c r="A3480" t="s">
        <v>25</v>
      </c>
      <c r="B3480" s="1">
        <v>45581.464837962965</v>
      </c>
      <c r="C3480" t="str">
        <f t="shared" si="639"/>
        <v>41</v>
      </c>
      <c r="D3480" t="s">
        <v>120</v>
      </c>
      <c r="E3480" t="s">
        <v>116</v>
      </c>
      <c r="F3480" t="s">
        <v>117</v>
      </c>
      <c r="H3480" t="s">
        <v>887</v>
      </c>
      <c r="I3480" t="str">
        <f>"101050002020255"</f>
        <v>101050002020255</v>
      </c>
      <c r="J3480" t="str">
        <f t="shared" si="640"/>
        <v>127924</v>
      </c>
      <c r="K3480" t="s">
        <v>3</v>
      </c>
      <c r="L3480">
        <v>49</v>
      </c>
      <c r="M3480">
        <v>49</v>
      </c>
      <c r="N3480">
        <v>0</v>
      </c>
      <c r="O3480" s="1">
        <v>45581.464837962965</v>
      </c>
      <c r="P3480" t="s">
        <v>392</v>
      </c>
    </row>
    <row r="3481" spans="1:16" x14ac:dyDescent="0.3">
      <c r="A3481" t="s">
        <v>25</v>
      </c>
      <c r="B3481" s="1">
        <v>45581.464837962965</v>
      </c>
      <c r="C3481" t="str">
        <f t="shared" si="639"/>
        <v>41</v>
      </c>
      <c r="D3481" t="s">
        <v>120</v>
      </c>
      <c r="E3481" t="s">
        <v>116</v>
      </c>
      <c r="F3481" t="s">
        <v>117</v>
      </c>
      <c r="H3481" t="s">
        <v>887</v>
      </c>
      <c r="I3481" t="str">
        <f>"101050002020303"</f>
        <v>101050002020303</v>
      </c>
      <c r="J3481" t="str">
        <f t="shared" si="640"/>
        <v>127924</v>
      </c>
      <c r="K3481" t="s">
        <v>3</v>
      </c>
      <c r="L3481">
        <v>49</v>
      </c>
      <c r="M3481">
        <v>49</v>
      </c>
      <c r="N3481">
        <v>0</v>
      </c>
      <c r="O3481" s="1">
        <v>45581.464837962965</v>
      </c>
      <c r="P3481" t="s">
        <v>392</v>
      </c>
    </row>
    <row r="3482" spans="1:16" x14ac:dyDescent="0.3">
      <c r="A3482" t="s">
        <v>25</v>
      </c>
      <c r="B3482" s="1">
        <v>45581.464837962965</v>
      </c>
      <c r="C3482" t="str">
        <f t="shared" si="639"/>
        <v>41</v>
      </c>
      <c r="D3482" t="s">
        <v>120</v>
      </c>
      <c r="E3482" t="s">
        <v>116</v>
      </c>
      <c r="F3482" t="s">
        <v>117</v>
      </c>
      <c r="H3482" t="s">
        <v>887</v>
      </c>
      <c r="I3482" t="str">
        <f>"101050002019020"</f>
        <v>101050002019020</v>
      </c>
      <c r="J3482" t="str">
        <f t="shared" si="640"/>
        <v>127924</v>
      </c>
      <c r="K3482" t="s">
        <v>3</v>
      </c>
      <c r="L3482">
        <v>49</v>
      </c>
      <c r="M3482">
        <v>49</v>
      </c>
      <c r="N3482">
        <v>0</v>
      </c>
      <c r="O3482" s="1">
        <v>45581.464837962965</v>
      </c>
      <c r="P3482" t="s">
        <v>392</v>
      </c>
    </row>
    <row r="3483" spans="1:16" x14ac:dyDescent="0.3">
      <c r="A3483" t="s">
        <v>25</v>
      </c>
      <c r="B3483" s="1">
        <v>45581.464837962965</v>
      </c>
      <c r="C3483" t="str">
        <f t="shared" si="639"/>
        <v>41</v>
      </c>
      <c r="D3483" t="s">
        <v>120</v>
      </c>
      <c r="E3483" t="s">
        <v>116</v>
      </c>
      <c r="F3483" t="s">
        <v>117</v>
      </c>
      <c r="H3483" t="s">
        <v>887</v>
      </c>
      <c r="I3483" t="str">
        <f>"101050002020582"</f>
        <v>101050002020582</v>
      </c>
      <c r="J3483" t="str">
        <f t="shared" si="640"/>
        <v>127924</v>
      </c>
      <c r="K3483" t="s">
        <v>3</v>
      </c>
      <c r="L3483">
        <v>49</v>
      </c>
      <c r="M3483">
        <v>49</v>
      </c>
      <c r="N3483">
        <v>0</v>
      </c>
      <c r="O3483" s="1">
        <v>45581.464837962965</v>
      </c>
      <c r="P3483" t="s">
        <v>392</v>
      </c>
    </row>
    <row r="3484" spans="1:16" x14ac:dyDescent="0.3">
      <c r="A3484" t="s">
        <v>25</v>
      </c>
      <c r="B3484" s="1">
        <v>45581.464837962965</v>
      </c>
      <c r="C3484" t="str">
        <f t="shared" si="639"/>
        <v>41</v>
      </c>
      <c r="D3484" t="s">
        <v>120</v>
      </c>
      <c r="E3484" t="s">
        <v>116</v>
      </c>
      <c r="F3484" t="s">
        <v>117</v>
      </c>
      <c r="H3484" t="s">
        <v>887</v>
      </c>
      <c r="I3484" t="str">
        <f>"101050002020505"</f>
        <v>101050002020505</v>
      </c>
      <c r="J3484" t="str">
        <f t="shared" si="640"/>
        <v>127924</v>
      </c>
      <c r="K3484" t="s">
        <v>3</v>
      </c>
      <c r="L3484">
        <v>49</v>
      </c>
      <c r="M3484">
        <v>49</v>
      </c>
      <c r="N3484">
        <v>0</v>
      </c>
      <c r="O3484" s="1">
        <v>45581.464837962965</v>
      </c>
      <c r="P3484" t="s">
        <v>392</v>
      </c>
    </row>
    <row r="3485" spans="1:16" x14ac:dyDescent="0.3">
      <c r="A3485" t="s">
        <v>25</v>
      </c>
      <c r="B3485" s="1">
        <v>45581.463680555556</v>
      </c>
      <c r="C3485" t="str">
        <f>"38"</f>
        <v>38</v>
      </c>
      <c r="D3485" t="s">
        <v>115</v>
      </c>
      <c r="E3485" t="s">
        <v>116</v>
      </c>
      <c r="F3485" t="s">
        <v>117</v>
      </c>
      <c r="H3485" t="s">
        <v>888</v>
      </c>
      <c r="L3485">
        <v>0</v>
      </c>
      <c r="M3485">
        <v>0</v>
      </c>
      <c r="N3485">
        <v>0</v>
      </c>
      <c r="O3485" s="1">
        <v>45581.463680555556</v>
      </c>
      <c r="P3485" t="s">
        <v>122</v>
      </c>
    </row>
    <row r="3486" spans="1:16" x14ac:dyDescent="0.3">
      <c r="A3486" t="s">
        <v>25</v>
      </c>
      <c r="B3486" s="1">
        <v>45581.463472222225</v>
      </c>
      <c r="C3486" t="str">
        <f>"38"</f>
        <v>38</v>
      </c>
      <c r="D3486" t="s">
        <v>115</v>
      </c>
      <c r="E3486" t="s">
        <v>116</v>
      </c>
      <c r="F3486" t="s">
        <v>117</v>
      </c>
      <c r="H3486" t="s">
        <v>889</v>
      </c>
      <c r="L3486">
        <v>0</v>
      </c>
      <c r="M3486">
        <v>0</v>
      </c>
      <c r="N3486">
        <v>0</v>
      </c>
      <c r="O3486" s="1">
        <v>45581.463472222225</v>
      </c>
      <c r="P3486" t="s">
        <v>392</v>
      </c>
    </row>
    <row r="3487" spans="1:16" x14ac:dyDescent="0.3">
      <c r="A3487" t="s">
        <v>25</v>
      </c>
      <c r="B3487" s="1">
        <v>45581.463472222225</v>
      </c>
      <c r="C3487" t="str">
        <f>"41"</f>
        <v>41</v>
      </c>
      <c r="D3487" t="s">
        <v>120</v>
      </c>
      <c r="E3487" t="s">
        <v>116</v>
      </c>
      <c r="F3487" t="s">
        <v>117</v>
      </c>
      <c r="H3487" t="s">
        <v>889</v>
      </c>
      <c r="I3487" t="str">
        <f>"101050002014973"</f>
        <v>101050002014973</v>
      </c>
      <c r="J3487" t="str">
        <f>"126475"</f>
        <v>126475</v>
      </c>
      <c r="K3487" t="s">
        <v>22</v>
      </c>
      <c r="L3487">
        <v>49</v>
      </c>
      <c r="M3487">
        <v>49</v>
      </c>
      <c r="N3487">
        <v>0</v>
      </c>
      <c r="O3487" s="1">
        <v>45581.463472222225</v>
      </c>
      <c r="P3487" t="s">
        <v>392</v>
      </c>
    </row>
    <row r="3488" spans="1:16" x14ac:dyDescent="0.3">
      <c r="A3488" t="s">
        <v>25</v>
      </c>
      <c r="B3488" s="1">
        <v>45581.463472222225</v>
      </c>
      <c r="C3488" t="str">
        <f>"41"</f>
        <v>41</v>
      </c>
      <c r="D3488" t="s">
        <v>120</v>
      </c>
      <c r="E3488" t="s">
        <v>116</v>
      </c>
      <c r="F3488" t="s">
        <v>117</v>
      </c>
      <c r="H3488" t="s">
        <v>889</v>
      </c>
      <c r="I3488" t="str">
        <f>"101050002014975"</f>
        <v>101050002014975</v>
      </c>
      <c r="J3488" t="str">
        <f>"126475"</f>
        <v>126475</v>
      </c>
      <c r="K3488" t="s">
        <v>22</v>
      </c>
      <c r="L3488">
        <v>49</v>
      </c>
      <c r="M3488">
        <v>49</v>
      </c>
      <c r="N3488">
        <v>0</v>
      </c>
      <c r="O3488" s="1">
        <v>45581.463472222225</v>
      </c>
      <c r="P3488" t="s">
        <v>392</v>
      </c>
    </row>
    <row r="3489" spans="1:16" x14ac:dyDescent="0.3">
      <c r="A3489" t="s">
        <v>25</v>
      </c>
      <c r="B3489" s="1">
        <v>45581.463472222225</v>
      </c>
      <c r="C3489" t="str">
        <f>"41"</f>
        <v>41</v>
      </c>
      <c r="D3489" t="s">
        <v>120</v>
      </c>
      <c r="E3489" t="s">
        <v>116</v>
      </c>
      <c r="F3489" t="s">
        <v>117</v>
      </c>
      <c r="H3489" t="s">
        <v>889</v>
      </c>
      <c r="I3489" t="str">
        <f>"101050002014976"</f>
        <v>101050002014976</v>
      </c>
      <c r="J3489" t="str">
        <f>"126475"</f>
        <v>126475</v>
      </c>
      <c r="K3489" t="s">
        <v>22</v>
      </c>
      <c r="L3489">
        <v>49</v>
      </c>
      <c r="M3489">
        <v>49</v>
      </c>
      <c r="N3489">
        <v>0</v>
      </c>
      <c r="O3489" s="1">
        <v>45581.463472222225</v>
      </c>
      <c r="P3489" t="s">
        <v>392</v>
      </c>
    </row>
    <row r="3490" spans="1:16" x14ac:dyDescent="0.3">
      <c r="A3490" t="s">
        <v>25</v>
      </c>
      <c r="B3490" s="1">
        <v>45581.46466435185</v>
      </c>
      <c r="C3490" t="str">
        <f>"38"</f>
        <v>38</v>
      </c>
      <c r="D3490" t="s">
        <v>115</v>
      </c>
      <c r="E3490" t="s">
        <v>116</v>
      </c>
      <c r="F3490" t="s">
        <v>117</v>
      </c>
      <c r="H3490" t="s">
        <v>890</v>
      </c>
      <c r="L3490">
        <v>0</v>
      </c>
      <c r="M3490">
        <v>0</v>
      </c>
      <c r="N3490">
        <v>0</v>
      </c>
      <c r="O3490" s="1">
        <v>45581.46466435185</v>
      </c>
      <c r="P3490" t="s">
        <v>119</v>
      </c>
    </row>
    <row r="3491" spans="1:16" x14ac:dyDescent="0.3">
      <c r="A3491" t="s">
        <v>25</v>
      </c>
      <c r="B3491" s="1">
        <v>45581.46466435185</v>
      </c>
      <c r="C3491" t="str">
        <f t="shared" ref="C3491:C3497" si="641">"41"</f>
        <v>41</v>
      </c>
      <c r="D3491" t="s">
        <v>120</v>
      </c>
      <c r="E3491" t="s">
        <v>116</v>
      </c>
      <c r="F3491" t="s">
        <v>117</v>
      </c>
      <c r="H3491" t="s">
        <v>890</v>
      </c>
      <c r="I3491" t="str">
        <f>"101050002024313"</f>
        <v>101050002024313</v>
      </c>
      <c r="J3491" t="str">
        <f t="shared" ref="J3491:J3497" si="642">"514866"</f>
        <v>514866</v>
      </c>
      <c r="K3491" t="s">
        <v>14</v>
      </c>
      <c r="L3491">
        <v>49</v>
      </c>
      <c r="M3491">
        <v>49</v>
      </c>
      <c r="N3491">
        <v>0</v>
      </c>
      <c r="O3491" s="1">
        <v>45581.46466435185</v>
      </c>
      <c r="P3491" t="s">
        <v>119</v>
      </c>
    </row>
    <row r="3492" spans="1:16" x14ac:dyDescent="0.3">
      <c r="A3492" t="s">
        <v>25</v>
      </c>
      <c r="B3492" s="1">
        <v>45581.46466435185</v>
      </c>
      <c r="C3492" t="str">
        <f t="shared" si="641"/>
        <v>41</v>
      </c>
      <c r="D3492" t="s">
        <v>120</v>
      </c>
      <c r="E3492" t="s">
        <v>116</v>
      </c>
      <c r="F3492" t="s">
        <v>117</v>
      </c>
      <c r="H3492" t="s">
        <v>890</v>
      </c>
      <c r="I3492" t="str">
        <f>"101050002024314"</f>
        <v>101050002024314</v>
      </c>
      <c r="J3492" t="str">
        <f t="shared" si="642"/>
        <v>514866</v>
      </c>
      <c r="K3492" t="s">
        <v>14</v>
      </c>
      <c r="L3492">
        <v>49</v>
      </c>
      <c r="M3492">
        <v>49</v>
      </c>
      <c r="N3492">
        <v>0</v>
      </c>
      <c r="O3492" s="1">
        <v>45581.46466435185</v>
      </c>
      <c r="P3492" t="s">
        <v>119</v>
      </c>
    </row>
    <row r="3493" spans="1:16" x14ac:dyDescent="0.3">
      <c r="A3493" t="s">
        <v>25</v>
      </c>
      <c r="B3493" s="1">
        <v>45581.46466435185</v>
      </c>
      <c r="C3493" t="str">
        <f t="shared" si="641"/>
        <v>41</v>
      </c>
      <c r="D3493" t="s">
        <v>120</v>
      </c>
      <c r="E3493" t="s">
        <v>116</v>
      </c>
      <c r="F3493" t="s">
        <v>117</v>
      </c>
      <c r="H3493" t="s">
        <v>890</v>
      </c>
      <c r="I3493" t="str">
        <f>"101050002024149"</f>
        <v>101050002024149</v>
      </c>
      <c r="J3493" t="str">
        <f t="shared" si="642"/>
        <v>514866</v>
      </c>
      <c r="K3493" t="s">
        <v>14</v>
      </c>
      <c r="L3493">
        <v>49</v>
      </c>
      <c r="M3493">
        <v>49</v>
      </c>
      <c r="N3493">
        <v>0</v>
      </c>
      <c r="O3493" s="1">
        <v>45581.46466435185</v>
      </c>
      <c r="P3493" t="s">
        <v>119</v>
      </c>
    </row>
    <row r="3494" spans="1:16" x14ac:dyDescent="0.3">
      <c r="A3494" t="s">
        <v>25</v>
      </c>
      <c r="B3494" s="1">
        <v>45581.46466435185</v>
      </c>
      <c r="C3494" t="str">
        <f t="shared" si="641"/>
        <v>41</v>
      </c>
      <c r="D3494" t="s">
        <v>120</v>
      </c>
      <c r="E3494" t="s">
        <v>116</v>
      </c>
      <c r="F3494" t="s">
        <v>117</v>
      </c>
      <c r="H3494" t="s">
        <v>890</v>
      </c>
      <c r="I3494" t="str">
        <f>"101050002017283"</f>
        <v>101050002017283</v>
      </c>
      <c r="J3494" t="str">
        <f t="shared" si="642"/>
        <v>514866</v>
      </c>
      <c r="K3494" t="s">
        <v>14</v>
      </c>
      <c r="L3494">
        <v>49</v>
      </c>
      <c r="M3494">
        <v>49</v>
      </c>
      <c r="N3494">
        <v>0</v>
      </c>
      <c r="O3494" s="1">
        <v>45581.46466435185</v>
      </c>
      <c r="P3494" t="s">
        <v>119</v>
      </c>
    </row>
    <row r="3495" spans="1:16" x14ac:dyDescent="0.3">
      <c r="A3495" t="s">
        <v>25</v>
      </c>
      <c r="B3495" s="1">
        <v>45581.46466435185</v>
      </c>
      <c r="C3495" t="str">
        <f t="shared" si="641"/>
        <v>41</v>
      </c>
      <c r="D3495" t="s">
        <v>120</v>
      </c>
      <c r="E3495" t="s">
        <v>116</v>
      </c>
      <c r="F3495" t="s">
        <v>117</v>
      </c>
      <c r="H3495" t="s">
        <v>890</v>
      </c>
      <c r="I3495" t="str">
        <f>"101050002017355"</f>
        <v>101050002017355</v>
      </c>
      <c r="J3495" t="str">
        <f t="shared" si="642"/>
        <v>514866</v>
      </c>
      <c r="K3495" t="s">
        <v>14</v>
      </c>
      <c r="L3495">
        <v>49</v>
      </c>
      <c r="M3495">
        <v>49</v>
      </c>
      <c r="N3495">
        <v>0</v>
      </c>
      <c r="O3495" s="1">
        <v>45581.46466435185</v>
      </c>
      <c r="P3495" t="s">
        <v>119</v>
      </c>
    </row>
    <row r="3496" spans="1:16" x14ac:dyDescent="0.3">
      <c r="A3496" t="s">
        <v>25</v>
      </c>
      <c r="B3496" s="1">
        <v>45581.46466435185</v>
      </c>
      <c r="C3496" t="str">
        <f t="shared" si="641"/>
        <v>41</v>
      </c>
      <c r="D3496" t="s">
        <v>120</v>
      </c>
      <c r="E3496" t="s">
        <v>116</v>
      </c>
      <c r="F3496" t="s">
        <v>117</v>
      </c>
      <c r="H3496" t="s">
        <v>890</v>
      </c>
      <c r="I3496" t="str">
        <f>"101050002017353"</f>
        <v>101050002017353</v>
      </c>
      <c r="J3496" t="str">
        <f t="shared" si="642"/>
        <v>514866</v>
      </c>
      <c r="K3496" t="s">
        <v>14</v>
      </c>
      <c r="L3496">
        <v>49</v>
      </c>
      <c r="M3496">
        <v>49</v>
      </c>
      <c r="N3496">
        <v>0</v>
      </c>
      <c r="O3496" s="1">
        <v>45581.46466435185</v>
      </c>
      <c r="P3496" t="s">
        <v>119</v>
      </c>
    </row>
    <row r="3497" spans="1:16" x14ac:dyDescent="0.3">
      <c r="A3497" t="s">
        <v>25</v>
      </c>
      <c r="B3497" s="1">
        <v>45581.46466435185</v>
      </c>
      <c r="C3497" t="str">
        <f t="shared" si="641"/>
        <v>41</v>
      </c>
      <c r="D3497" t="s">
        <v>120</v>
      </c>
      <c r="E3497" t="s">
        <v>116</v>
      </c>
      <c r="F3497" t="s">
        <v>117</v>
      </c>
      <c r="H3497" t="s">
        <v>890</v>
      </c>
      <c r="I3497" t="str">
        <f>"101050001983031"</f>
        <v>101050001983031</v>
      </c>
      <c r="J3497" t="str">
        <f t="shared" si="642"/>
        <v>514866</v>
      </c>
      <c r="K3497" t="s">
        <v>14</v>
      </c>
      <c r="L3497">
        <v>49</v>
      </c>
      <c r="M3497">
        <v>49</v>
      </c>
      <c r="N3497">
        <v>0</v>
      </c>
      <c r="O3497" s="1">
        <v>45581.46466435185</v>
      </c>
      <c r="P3497" t="s">
        <v>119</v>
      </c>
    </row>
    <row r="3498" spans="1:16" x14ac:dyDescent="0.3">
      <c r="A3498" t="s">
        <v>25</v>
      </c>
      <c r="B3498" s="1">
        <v>45581.463634259257</v>
      </c>
      <c r="C3498" t="str">
        <f>"38"</f>
        <v>38</v>
      </c>
      <c r="D3498" t="s">
        <v>115</v>
      </c>
      <c r="E3498" t="s">
        <v>116</v>
      </c>
      <c r="F3498" t="s">
        <v>117</v>
      </c>
      <c r="H3498" t="s">
        <v>891</v>
      </c>
      <c r="L3498">
        <v>0</v>
      </c>
      <c r="M3498">
        <v>0</v>
      </c>
      <c r="N3498">
        <v>0</v>
      </c>
      <c r="O3498" s="1">
        <v>45581.463634259257</v>
      </c>
      <c r="P3498" t="s">
        <v>119</v>
      </c>
    </row>
    <row r="3499" spans="1:16" x14ac:dyDescent="0.3">
      <c r="A3499" t="s">
        <v>25</v>
      </c>
      <c r="B3499" s="1">
        <v>45581.463634259257</v>
      </c>
      <c r="C3499" t="str">
        <f t="shared" ref="C3499:C3505" si="643">"41"</f>
        <v>41</v>
      </c>
      <c r="D3499" t="s">
        <v>120</v>
      </c>
      <c r="E3499" t="s">
        <v>116</v>
      </c>
      <c r="F3499" t="s">
        <v>117</v>
      </c>
      <c r="H3499" t="s">
        <v>891</v>
      </c>
      <c r="I3499" t="str">
        <f>"101050002020261"</f>
        <v>101050002020261</v>
      </c>
      <c r="J3499" t="str">
        <f t="shared" ref="J3499:J3505" si="644">"127924"</f>
        <v>127924</v>
      </c>
      <c r="K3499" t="s">
        <v>3</v>
      </c>
      <c r="L3499">
        <v>49</v>
      </c>
      <c r="M3499">
        <v>49</v>
      </c>
      <c r="N3499">
        <v>0</v>
      </c>
      <c r="O3499" s="1">
        <v>45581.463634259257</v>
      </c>
      <c r="P3499" t="s">
        <v>119</v>
      </c>
    </row>
    <row r="3500" spans="1:16" x14ac:dyDescent="0.3">
      <c r="A3500" t="s">
        <v>25</v>
      </c>
      <c r="B3500" s="1">
        <v>45581.463622685187</v>
      </c>
      <c r="C3500" t="str">
        <f t="shared" si="643"/>
        <v>41</v>
      </c>
      <c r="D3500" t="s">
        <v>120</v>
      </c>
      <c r="E3500" t="s">
        <v>116</v>
      </c>
      <c r="F3500" t="s">
        <v>117</v>
      </c>
      <c r="H3500" t="s">
        <v>891</v>
      </c>
      <c r="I3500" t="str">
        <f>"101050002017099"</f>
        <v>101050002017099</v>
      </c>
      <c r="J3500" t="str">
        <f t="shared" si="644"/>
        <v>127924</v>
      </c>
      <c r="K3500" t="s">
        <v>3</v>
      </c>
      <c r="L3500">
        <v>49</v>
      </c>
      <c r="M3500">
        <v>49</v>
      </c>
      <c r="N3500">
        <v>0</v>
      </c>
      <c r="O3500" s="1">
        <v>45581.463622685187</v>
      </c>
      <c r="P3500" t="s">
        <v>119</v>
      </c>
    </row>
    <row r="3501" spans="1:16" x14ac:dyDescent="0.3">
      <c r="A3501" t="s">
        <v>25</v>
      </c>
      <c r="B3501" s="1">
        <v>45581.463622685187</v>
      </c>
      <c r="C3501" t="str">
        <f t="shared" si="643"/>
        <v>41</v>
      </c>
      <c r="D3501" t="s">
        <v>120</v>
      </c>
      <c r="E3501" t="s">
        <v>116</v>
      </c>
      <c r="F3501" t="s">
        <v>117</v>
      </c>
      <c r="H3501" t="s">
        <v>891</v>
      </c>
      <c r="I3501" t="str">
        <f>"101050002020262"</f>
        <v>101050002020262</v>
      </c>
      <c r="J3501" t="str">
        <f t="shared" si="644"/>
        <v>127924</v>
      </c>
      <c r="K3501" t="s">
        <v>3</v>
      </c>
      <c r="L3501">
        <v>49</v>
      </c>
      <c r="M3501">
        <v>49</v>
      </c>
      <c r="N3501">
        <v>0</v>
      </c>
      <c r="O3501" s="1">
        <v>45581.463622685187</v>
      </c>
      <c r="P3501" t="s">
        <v>119</v>
      </c>
    </row>
    <row r="3502" spans="1:16" x14ac:dyDescent="0.3">
      <c r="A3502" t="s">
        <v>25</v>
      </c>
      <c r="B3502" s="1">
        <v>45581.463622685187</v>
      </c>
      <c r="C3502" t="str">
        <f t="shared" si="643"/>
        <v>41</v>
      </c>
      <c r="D3502" t="s">
        <v>120</v>
      </c>
      <c r="E3502" t="s">
        <v>116</v>
      </c>
      <c r="F3502" t="s">
        <v>117</v>
      </c>
      <c r="H3502" t="s">
        <v>891</v>
      </c>
      <c r="I3502" t="str">
        <f>"101050002017097"</f>
        <v>101050002017097</v>
      </c>
      <c r="J3502" t="str">
        <f t="shared" si="644"/>
        <v>127924</v>
      </c>
      <c r="K3502" t="s">
        <v>3</v>
      </c>
      <c r="L3502">
        <v>49</v>
      </c>
      <c r="M3502">
        <v>49</v>
      </c>
      <c r="N3502">
        <v>0</v>
      </c>
      <c r="O3502" s="1">
        <v>45581.463622685187</v>
      </c>
      <c r="P3502" t="s">
        <v>119</v>
      </c>
    </row>
    <row r="3503" spans="1:16" x14ac:dyDescent="0.3">
      <c r="A3503" t="s">
        <v>25</v>
      </c>
      <c r="B3503" s="1">
        <v>45581.463622685187</v>
      </c>
      <c r="C3503" t="str">
        <f t="shared" si="643"/>
        <v>41</v>
      </c>
      <c r="D3503" t="s">
        <v>120</v>
      </c>
      <c r="E3503" t="s">
        <v>116</v>
      </c>
      <c r="F3503" t="s">
        <v>117</v>
      </c>
      <c r="H3503" t="s">
        <v>891</v>
      </c>
      <c r="I3503" t="str">
        <f>"101050002017487"</f>
        <v>101050002017487</v>
      </c>
      <c r="J3503" t="str">
        <f t="shared" si="644"/>
        <v>127924</v>
      </c>
      <c r="K3503" t="s">
        <v>3</v>
      </c>
      <c r="L3503">
        <v>49</v>
      </c>
      <c r="M3503">
        <v>49</v>
      </c>
      <c r="N3503">
        <v>0</v>
      </c>
      <c r="O3503" s="1">
        <v>45581.463622685187</v>
      </c>
      <c r="P3503" t="s">
        <v>119</v>
      </c>
    </row>
    <row r="3504" spans="1:16" x14ac:dyDescent="0.3">
      <c r="A3504" t="s">
        <v>25</v>
      </c>
      <c r="B3504" s="1">
        <v>45581.463622685187</v>
      </c>
      <c r="C3504" t="str">
        <f t="shared" si="643"/>
        <v>41</v>
      </c>
      <c r="D3504" t="s">
        <v>120</v>
      </c>
      <c r="E3504" t="s">
        <v>116</v>
      </c>
      <c r="F3504" t="s">
        <v>117</v>
      </c>
      <c r="H3504" t="s">
        <v>891</v>
      </c>
      <c r="I3504" t="str">
        <f>"101050002017611"</f>
        <v>101050002017611</v>
      </c>
      <c r="J3504" t="str">
        <f t="shared" si="644"/>
        <v>127924</v>
      </c>
      <c r="K3504" t="s">
        <v>3</v>
      </c>
      <c r="L3504">
        <v>49</v>
      </c>
      <c r="M3504">
        <v>49</v>
      </c>
      <c r="N3504">
        <v>0</v>
      </c>
      <c r="O3504" s="1">
        <v>45581.463622685187</v>
      </c>
      <c r="P3504" t="s">
        <v>119</v>
      </c>
    </row>
    <row r="3505" spans="1:16" x14ac:dyDescent="0.3">
      <c r="A3505" t="s">
        <v>25</v>
      </c>
      <c r="B3505" s="1">
        <v>45581.463622685187</v>
      </c>
      <c r="C3505" t="str">
        <f t="shared" si="643"/>
        <v>41</v>
      </c>
      <c r="D3505" t="s">
        <v>120</v>
      </c>
      <c r="E3505" t="s">
        <v>116</v>
      </c>
      <c r="F3505" t="s">
        <v>117</v>
      </c>
      <c r="H3505" t="s">
        <v>891</v>
      </c>
      <c r="I3505" t="str">
        <f>"101050002017454"</f>
        <v>101050002017454</v>
      </c>
      <c r="J3505" t="str">
        <f t="shared" si="644"/>
        <v>127924</v>
      </c>
      <c r="K3505" t="s">
        <v>3</v>
      </c>
      <c r="L3505">
        <v>49</v>
      </c>
      <c r="M3505">
        <v>49</v>
      </c>
      <c r="N3505">
        <v>0</v>
      </c>
      <c r="O3505" s="1">
        <v>45581.463622685187</v>
      </c>
      <c r="P3505" t="s">
        <v>119</v>
      </c>
    </row>
    <row r="3506" spans="1:16" x14ac:dyDescent="0.3">
      <c r="A3506" t="s">
        <v>25</v>
      </c>
      <c r="B3506" s="1">
        <v>45581.462500000001</v>
      </c>
      <c r="C3506" t="str">
        <f>"38"</f>
        <v>38</v>
      </c>
      <c r="D3506" t="s">
        <v>115</v>
      </c>
      <c r="E3506" t="s">
        <v>116</v>
      </c>
      <c r="F3506" t="s">
        <v>117</v>
      </c>
      <c r="H3506" t="s">
        <v>892</v>
      </c>
      <c r="L3506">
        <v>0</v>
      </c>
      <c r="M3506">
        <v>0</v>
      </c>
      <c r="N3506">
        <v>0</v>
      </c>
      <c r="O3506" s="1">
        <v>45581.462500000001</v>
      </c>
      <c r="P3506" t="s">
        <v>392</v>
      </c>
    </row>
    <row r="3507" spans="1:16" x14ac:dyDescent="0.3">
      <c r="A3507" t="s">
        <v>25</v>
      </c>
      <c r="B3507" s="1">
        <v>45581.462453703702</v>
      </c>
      <c r="C3507" t="str">
        <f>"38"</f>
        <v>38</v>
      </c>
      <c r="D3507" t="s">
        <v>115</v>
      </c>
      <c r="E3507" t="s">
        <v>116</v>
      </c>
      <c r="F3507" t="s">
        <v>117</v>
      </c>
      <c r="H3507" t="s">
        <v>893</v>
      </c>
      <c r="L3507">
        <v>0</v>
      </c>
      <c r="M3507">
        <v>0</v>
      </c>
      <c r="N3507">
        <v>0</v>
      </c>
      <c r="O3507" s="1">
        <v>45581.462453703702</v>
      </c>
      <c r="P3507" t="s">
        <v>392</v>
      </c>
    </row>
    <row r="3508" spans="1:16" x14ac:dyDescent="0.3">
      <c r="A3508" t="s">
        <v>25</v>
      </c>
      <c r="B3508" s="1">
        <v>45581.462453703702</v>
      </c>
      <c r="C3508" t="str">
        <f t="shared" ref="C3508:C3513" si="645">"41"</f>
        <v>41</v>
      </c>
      <c r="D3508" t="s">
        <v>120</v>
      </c>
      <c r="E3508" t="s">
        <v>116</v>
      </c>
      <c r="F3508" t="s">
        <v>117</v>
      </c>
      <c r="H3508" t="s">
        <v>893</v>
      </c>
      <c r="I3508" t="str">
        <f>"101050002003338"</f>
        <v>101050002003338</v>
      </c>
      <c r="J3508" t="str">
        <f t="shared" ref="J3508:J3513" si="646">"0800"</f>
        <v>0800</v>
      </c>
      <c r="K3508" t="s">
        <v>26</v>
      </c>
      <c r="L3508">
        <v>49</v>
      </c>
      <c r="M3508">
        <v>49</v>
      </c>
      <c r="N3508">
        <v>0</v>
      </c>
      <c r="O3508" s="1">
        <v>45581.462453703702</v>
      </c>
      <c r="P3508" t="s">
        <v>392</v>
      </c>
    </row>
    <row r="3509" spans="1:16" x14ac:dyDescent="0.3">
      <c r="A3509" t="s">
        <v>25</v>
      </c>
      <c r="B3509" s="1">
        <v>45581.462453703702</v>
      </c>
      <c r="C3509" t="str">
        <f t="shared" si="645"/>
        <v>41</v>
      </c>
      <c r="D3509" t="s">
        <v>120</v>
      </c>
      <c r="E3509" t="s">
        <v>116</v>
      </c>
      <c r="F3509" t="s">
        <v>117</v>
      </c>
      <c r="H3509" t="s">
        <v>893</v>
      </c>
      <c r="I3509" t="str">
        <f>"101050002002964"</f>
        <v>101050002002964</v>
      </c>
      <c r="J3509" t="str">
        <f t="shared" si="646"/>
        <v>0800</v>
      </c>
      <c r="K3509" t="s">
        <v>26</v>
      </c>
      <c r="L3509">
        <v>49</v>
      </c>
      <c r="M3509">
        <v>49</v>
      </c>
      <c r="N3509">
        <v>0</v>
      </c>
      <c r="O3509" s="1">
        <v>45581.462453703702</v>
      </c>
      <c r="P3509" t="s">
        <v>392</v>
      </c>
    </row>
    <row r="3510" spans="1:16" x14ac:dyDescent="0.3">
      <c r="A3510" t="s">
        <v>25</v>
      </c>
      <c r="B3510" s="1">
        <v>45581.462442129632</v>
      </c>
      <c r="C3510" t="str">
        <f t="shared" si="645"/>
        <v>41</v>
      </c>
      <c r="D3510" t="s">
        <v>120</v>
      </c>
      <c r="E3510" t="s">
        <v>116</v>
      </c>
      <c r="F3510" t="s">
        <v>117</v>
      </c>
      <c r="H3510" t="s">
        <v>893</v>
      </c>
      <c r="I3510" t="str">
        <f>"101050002003951"</f>
        <v>101050002003951</v>
      </c>
      <c r="J3510" t="str">
        <f t="shared" si="646"/>
        <v>0800</v>
      </c>
      <c r="K3510" t="s">
        <v>26</v>
      </c>
      <c r="L3510">
        <v>49</v>
      </c>
      <c r="M3510">
        <v>49</v>
      </c>
      <c r="N3510">
        <v>0</v>
      </c>
      <c r="O3510" s="1">
        <v>45581.462442129632</v>
      </c>
      <c r="P3510" t="s">
        <v>392</v>
      </c>
    </row>
    <row r="3511" spans="1:16" x14ac:dyDescent="0.3">
      <c r="A3511" t="s">
        <v>25</v>
      </c>
      <c r="B3511" s="1">
        <v>45581.462442129632</v>
      </c>
      <c r="C3511" t="str">
        <f t="shared" si="645"/>
        <v>41</v>
      </c>
      <c r="D3511" t="s">
        <v>120</v>
      </c>
      <c r="E3511" t="s">
        <v>116</v>
      </c>
      <c r="F3511" t="s">
        <v>117</v>
      </c>
      <c r="H3511" t="s">
        <v>893</v>
      </c>
      <c r="I3511" t="str">
        <f>"101050002004432"</f>
        <v>101050002004432</v>
      </c>
      <c r="J3511" t="str">
        <f t="shared" si="646"/>
        <v>0800</v>
      </c>
      <c r="K3511" t="s">
        <v>26</v>
      </c>
      <c r="L3511">
        <v>49</v>
      </c>
      <c r="M3511">
        <v>49</v>
      </c>
      <c r="N3511">
        <v>0</v>
      </c>
      <c r="O3511" s="1">
        <v>45581.462442129632</v>
      </c>
      <c r="P3511" t="s">
        <v>392</v>
      </c>
    </row>
    <row r="3512" spans="1:16" x14ac:dyDescent="0.3">
      <c r="A3512" t="s">
        <v>25</v>
      </c>
      <c r="B3512" s="1">
        <v>45581.462442129632</v>
      </c>
      <c r="C3512" t="str">
        <f t="shared" si="645"/>
        <v>41</v>
      </c>
      <c r="D3512" t="s">
        <v>120</v>
      </c>
      <c r="E3512" t="s">
        <v>116</v>
      </c>
      <c r="F3512" t="s">
        <v>117</v>
      </c>
      <c r="H3512" t="s">
        <v>893</v>
      </c>
      <c r="I3512" t="str">
        <f>"101050002003775"</f>
        <v>101050002003775</v>
      </c>
      <c r="J3512" t="str">
        <f t="shared" si="646"/>
        <v>0800</v>
      </c>
      <c r="K3512" t="s">
        <v>26</v>
      </c>
      <c r="L3512">
        <v>49</v>
      </c>
      <c r="M3512">
        <v>49</v>
      </c>
      <c r="N3512">
        <v>0</v>
      </c>
      <c r="O3512" s="1">
        <v>45581.462442129632</v>
      </c>
      <c r="P3512" t="s">
        <v>392</v>
      </c>
    </row>
    <row r="3513" spans="1:16" x14ac:dyDescent="0.3">
      <c r="A3513" t="s">
        <v>25</v>
      </c>
      <c r="B3513" s="1">
        <v>45581.462442129632</v>
      </c>
      <c r="C3513" t="str">
        <f t="shared" si="645"/>
        <v>41</v>
      </c>
      <c r="D3513" t="s">
        <v>120</v>
      </c>
      <c r="E3513" t="s">
        <v>116</v>
      </c>
      <c r="F3513" t="s">
        <v>117</v>
      </c>
      <c r="H3513" t="s">
        <v>893</v>
      </c>
      <c r="I3513" t="str">
        <f>"101050002003213"</f>
        <v>101050002003213</v>
      </c>
      <c r="J3513" t="str">
        <f t="shared" si="646"/>
        <v>0800</v>
      </c>
      <c r="K3513" t="s">
        <v>26</v>
      </c>
      <c r="L3513">
        <v>49</v>
      </c>
      <c r="M3513">
        <v>49</v>
      </c>
      <c r="N3513">
        <v>0</v>
      </c>
      <c r="O3513" s="1">
        <v>45581.462442129632</v>
      </c>
      <c r="P3513" t="s">
        <v>392</v>
      </c>
    </row>
    <row r="3514" spans="1:16" x14ac:dyDescent="0.3">
      <c r="A3514" t="s">
        <v>25</v>
      </c>
      <c r="B3514" s="1">
        <v>45581.460694444446</v>
      </c>
      <c r="C3514" t="str">
        <f>"38"</f>
        <v>38</v>
      </c>
      <c r="D3514" t="s">
        <v>115</v>
      </c>
      <c r="E3514" t="s">
        <v>116</v>
      </c>
      <c r="F3514" t="s">
        <v>117</v>
      </c>
      <c r="H3514" t="s">
        <v>894</v>
      </c>
      <c r="L3514">
        <v>0</v>
      </c>
      <c r="M3514">
        <v>0</v>
      </c>
      <c r="N3514">
        <v>0</v>
      </c>
      <c r="O3514" s="1">
        <v>45581.460694444446</v>
      </c>
      <c r="P3514" t="s">
        <v>122</v>
      </c>
    </row>
    <row r="3515" spans="1:16" x14ac:dyDescent="0.3">
      <c r="A3515" t="s">
        <v>25</v>
      </c>
      <c r="B3515" s="1">
        <v>45581.460590277777</v>
      </c>
      <c r="C3515" t="str">
        <f>"38"</f>
        <v>38</v>
      </c>
      <c r="D3515" t="s">
        <v>115</v>
      </c>
      <c r="E3515" t="s">
        <v>116</v>
      </c>
      <c r="F3515" t="s">
        <v>117</v>
      </c>
      <c r="H3515" t="s">
        <v>895</v>
      </c>
      <c r="L3515">
        <v>0</v>
      </c>
      <c r="M3515">
        <v>0</v>
      </c>
      <c r="N3515">
        <v>0</v>
      </c>
      <c r="O3515" s="1">
        <v>45581.460590277777</v>
      </c>
      <c r="P3515" t="s">
        <v>122</v>
      </c>
    </row>
    <row r="3516" spans="1:16" x14ac:dyDescent="0.3">
      <c r="A3516" t="s">
        <v>25</v>
      </c>
      <c r="B3516" s="1">
        <v>45581.460509259261</v>
      </c>
      <c r="C3516" t="str">
        <f>"38"</f>
        <v>38</v>
      </c>
      <c r="D3516" t="s">
        <v>115</v>
      </c>
      <c r="E3516" t="s">
        <v>116</v>
      </c>
      <c r="F3516" t="s">
        <v>117</v>
      </c>
      <c r="H3516" t="s">
        <v>896</v>
      </c>
      <c r="L3516">
        <v>0</v>
      </c>
      <c r="M3516">
        <v>0</v>
      </c>
      <c r="N3516">
        <v>0</v>
      </c>
      <c r="O3516" s="1">
        <v>45581.460509259261</v>
      </c>
      <c r="P3516" t="s">
        <v>122</v>
      </c>
    </row>
    <row r="3517" spans="1:16" x14ac:dyDescent="0.3">
      <c r="A3517" t="s">
        <v>25</v>
      </c>
      <c r="B3517" s="1">
        <v>45580.580879629626</v>
      </c>
      <c r="C3517" t="str">
        <f t="shared" ref="C3517:C3531" si="647">"41"</f>
        <v>41</v>
      </c>
      <c r="D3517" t="s">
        <v>120</v>
      </c>
      <c r="E3517" t="s">
        <v>116</v>
      </c>
      <c r="F3517" t="s">
        <v>117</v>
      </c>
      <c r="H3517" t="s">
        <v>897</v>
      </c>
      <c r="I3517" t="str">
        <f>"240824160407385"</f>
        <v>240824160407385</v>
      </c>
      <c r="J3517" t="str">
        <f>"42126"</f>
        <v>42126</v>
      </c>
      <c r="K3517" t="s">
        <v>79</v>
      </c>
      <c r="L3517">
        <v>6</v>
      </c>
      <c r="M3517">
        <v>6</v>
      </c>
      <c r="N3517">
        <v>0</v>
      </c>
      <c r="O3517" s="1">
        <v>45580.580879629626</v>
      </c>
      <c r="P3517" t="s">
        <v>138</v>
      </c>
    </row>
    <row r="3518" spans="1:16" x14ac:dyDescent="0.3">
      <c r="A3518" t="s">
        <v>25</v>
      </c>
      <c r="B3518" s="1">
        <v>45580.580879629626</v>
      </c>
      <c r="C3518" t="str">
        <f t="shared" si="647"/>
        <v>41</v>
      </c>
      <c r="D3518" t="s">
        <v>120</v>
      </c>
      <c r="E3518" t="s">
        <v>116</v>
      </c>
      <c r="F3518" t="s">
        <v>117</v>
      </c>
      <c r="H3518" t="s">
        <v>897</v>
      </c>
      <c r="I3518" t="str">
        <f>"201010000860818"</f>
        <v>201010000860818</v>
      </c>
      <c r="J3518" t="str">
        <f>"35549"</f>
        <v>35549</v>
      </c>
      <c r="K3518" t="s">
        <v>77</v>
      </c>
      <c r="L3518">
        <v>8</v>
      </c>
      <c r="M3518">
        <v>8</v>
      </c>
      <c r="N3518">
        <v>0</v>
      </c>
      <c r="O3518" s="1">
        <v>45580.580879629626</v>
      </c>
      <c r="P3518" t="s">
        <v>138</v>
      </c>
    </row>
    <row r="3519" spans="1:16" x14ac:dyDescent="0.3">
      <c r="A3519" t="s">
        <v>25</v>
      </c>
      <c r="B3519" s="1">
        <v>45580.580879629626</v>
      </c>
      <c r="C3519" t="str">
        <f t="shared" si="647"/>
        <v>41</v>
      </c>
      <c r="D3519" t="s">
        <v>120</v>
      </c>
      <c r="E3519" t="s">
        <v>116</v>
      </c>
      <c r="F3519" t="s">
        <v>117</v>
      </c>
      <c r="H3519" t="s">
        <v>897</v>
      </c>
      <c r="I3519" t="str">
        <f>"101010000230383"</f>
        <v>101010000230383</v>
      </c>
      <c r="J3519" t="str">
        <f>"515061"</f>
        <v>515061</v>
      </c>
      <c r="K3519" t="s">
        <v>96</v>
      </c>
      <c r="L3519">
        <v>7</v>
      </c>
      <c r="M3519">
        <v>7</v>
      </c>
      <c r="N3519">
        <v>0</v>
      </c>
      <c r="O3519" s="1">
        <v>45580.580879629626</v>
      </c>
      <c r="P3519" t="s">
        <v>138</v>
      </c>
    </row>
    <row r="3520" spans="1:16" x14ac:dyDescent="0.3">
      <c r="A3520" t="s">
        <v>25</v>
      </c>
      <c r="B3520" s="1">
        <v>45580.580879629626</v>
      </c>
      <c r="C3520" t="str">
        <f t="shared" si="647"/>
        <v>41</v>
      </c>
      <c r="D3520" t="s">
        <v>120</v>
      </c>
      <c r="E3520" t="s">
        <v>116</v>
      </c>
      <c r="F3520" t="s">
        <v>117</v>
      </c>
      <c r="H3520" t="s">
        <v>897</v>
      </c>
      <c r="I3520" t="str">
        <f>"101010000230383"</f>
        <v>101010000230383</v>
      </c>
      <c r="J3520" t="str">
        <f>"515060"</f>
        <v>515060</v>
      </c>
      <c r="K3520" t="s">
        <v>95</v>
      </c>
      <c r="L3520">
        <v>7</v>
      </c>
      <c r="M3520">
        <v>7</v>
      </c>
      <c r="N3520">
        <v>0</v>
      </c>
      <c r="O3520" s="1">
        <v>45580.580879629626</v>
      </c>
      <c r="P3520" t="s">
        <v>138</v>
      </c>
    </row>
    <row r="3521" spans="1:16" x14ac:dyDescent="0.3">
      <c r="A3521" t="s">
        <v>25</v>
      </c>
      <c r="B3521" s="1">
        <v>45580.580879629626</v>
      </c>
      <c r="C3521" t="str">
        <f t="shared" si="647"/>
        <v>41</v>
      </c>
      <c r="D3521" t="s">
        <v>120</v>
      </c>
      <c r="E3521" t="s">
        <v>116</v>
      </c>
      <c r="F3521" t="s">
        <v>117</v>
      </c>
      <c r="H3521" t="s">
        <v>897</v>
      </c>
      <c r="I3521" t="str">
        <f>"101050001811486"</f>
        <v>101050001811486</v>
      </c>
      <c r="J3521" t="str">
        <f>"124381"</f>
        <v>124381</v>
      </c>
      <c r="K3521" t="s">
        <v>34</v>
      </c>
      <c r="L3521">
        <v>68</v>
      </c>
      <c r="M3521">
        <v>68</v>
      </c>
      <c r="N3521">
        <v>0</v>
      </c>
      <c r="O3521" s="1">
        <v>45580.580879629626</v>
      </c>
      <c r="P3521" t="s">
        <v>138</v>
      </c>
    </row>
    <row r="3522" spans="1:16" x14ac:dyDescent="0.3">
      <c r="A3522" t="s">
        <v>25</v>
      </c>
      <c r="B3522" s="1">
        <v>45580.580868055556</v>
      </c>
      <c r="C3522" t="str">
        <f t="shared" si="647"/>
        <v>41</v>
      </c>
      <c r="D3522" t="s">
        <v>120</v>
      </c>
      <c r="E3522" t="s">
        <v>116</v>
      </c>
      <c r="F3522" t="s">
        <v>117</v>
      </c>
      <c r="H3522" t="s">
        <v>897</v>
      </c>
      <c r="I3522" t="str">
        <f>"101010000229864"</f>
        <v>101010000229864</v>
      </c>
      <c r="J3522" t="str">
        <f>"125192"</f>
        <v>125192</v>
      </c>
      <c r="K3522" t="s">
        <v>42</v>
      </c>
      <c r="L3522">
        <v>18</v>
      </c>
      <c r="M3522">
        <v>18</v>
      </c>
      <c r="N3522">
        <v>0</v>
      </c>
      <c r="O3522" s="1">
        <v>45580.580868055556</v>
      </c>
      <c r="P3522" t="s">
        <v>138</v>
      </c>
    </row>
    <row r="3523" spans="1:16" x14ac:dyDescent="0.3">
      <c r="A3523" t="s">
        <v>25</v>
      </c>
      <c r="B3523" s="1">
        <v>45580.580868055556</v>
      </c>
      <c r="C3523" t="str">
        <f t="shared" si="647"/>
        <v>41</v>
      </c>
      <c r="D3523" t="s">
        <v>120</v>
      </c>
      <c r="E3523" t="s">
        <v>116</v>
      </c>
      <c r="F3523" t="s">
        <v>117</v>
      </c>
      <c r="H3523" t="s">
        <v>897</v>
      </c>
      <c r="I3523" t="str">
        <f>"101050001842026"</f>
        <v>101050001842026</v>
      </c>
      <c r="J3523" t="str">
        <f>"128504"</f>
        <v>128504</v>
      </c>
      <c r="K3523" t="s">
        <v>71</v>
      </c>
      <c r="L3523">
        <v>34</v>
      </c>
      <c r="M3523">
        <v>34</v>
      </c>
      <c r="N3523">
        <v>0</v>
      </c>
      <c r="O3523" s="1">
        <v>45580.580868055556</v>
      </c>
      <c r="P3523" t="s">
        <v>138</v>
      </c>
    </row>
    <row r="3524" spans="1:16" x14ac:dyDescent="0.3">
      <c r="A3524" t="s">
        <v>25</v>
      </c>
      <c r="B3524" s="1">
        <v>45580.580868055556</v>
      </c>
      <c r="C3524" t="str">
        <f t="shared" si="647"/>
        <v>41</v>
      </c>
      <c r="D3524" t="s">
        <v>120</v>
      </c>
      <c r="E3524" t="s">
        <v>116</v>
      </c>
      <c r="F3524" t="s">
        <v>117</v>
      </c>
      <c r="H3524" t="s">
        <v>897</v>
      </c>
      <c r="I3524" t="str">
        <f>"101050001805947"</f>
        <v>101050001805947</v>
      </c>
      <c r="J3524" t="str">
        <f>"124383"</f>
        <v>124383</v>
      </c>
      <c r="K3524" t="s">
        <v>36</v>
      </c>
      <c r="L3524">
        <v>79</v>
      </c>
      <c r="M3524">
        <v>79</v>
      </c>
      <c r="N3524">
        <v>0</v>
      </c>
      <c r="O3524" s="1">
        <v>45580.580868055556</v>
      </c>
      <c r="P3524" t="s">
        <v>138</v>
      </c>
    </row>
    <row r="3525" spans="1:16" x14ac:dyDescent="0.3">
      <c r="A3525" t="s">
        <v>25</v>
      </c>
      <c r="B3525" s="1">
        <v>45580.580868055556</v>
      </c>
      <c r="C3525" t="str">
        <f t="shared" si="647"/>
        <v>41</v>
      </c>
      <c r="D3525" t="s">
        <v>120</v>
      </c>
      <c r="E3525" t="s">
        <v>116</v>
      </c>
      <c r="F3525" t="s">
        <v>117</v>
      </c>
      <c r="H3525" t="s">
        <v>897</v>
      </c>
      <c r="I3525" t="str">
        <f>"240905014312391"</f>
        <v>240905014312391</v>
      </c>
      <c r="J3525" t="str">
        <f>"128343"</f>
        <v>128343</v>
      </c>
      <c r="K3525" t="s">
        <v>66</v>
      </c>
      <c r="L3525">
        <v>12</v>
      </c>
      <c r="M3525">
        <v>12</v>
      </c>
      <c r="N3525">
        <v>0</v>
      </c>
      <c r="O3525" s="1">
        <v>45580.580868055556</v>
      </c>
      <c r="P3525" t="s">
        <v>138</v>
      </c>
    </row>
    <row r="3526" spans="1:16" x14ac:dyDescent="0.3">
      <c r="A3526" t="s">
        <v>25</v>
      </c>
      <c r="B3526" s="1">
        <v>45580.580868055556</v>
      </c>
      <c r="C3526" t="str">
        <f t="shared" si="647"/>
        <v>41</v>
      </c>
      <c r="D3526" t="s">
        <v>120</v>
      </c>
      <c r="E3526" t="s">
        <v>116</v>
      </c>
      <c r="F3526" t="s">
        <v>117</v>
      </c>
      <c r="H3526" t="s">
        <v>897</v>
      </c>
      <c r="I3526" t="str">
        <f>"240823160210185"</f>
        <v>240823160210185</v>
      </c>
      <c r="J3526" t="str">
        <f>"45973"</f>
        <v>45973</v>
      </c>
      <c r="K3526" t="s">
        <v>80</v>
      </c>
      <c r="L3526">
        <v>33</v>
      </c>
      <c r="M3526">
        <v>33</v>
      </c>
      <c r="N3526">
        <v>0</v>
      </c>
      <c r="O3526" s="1">
        <v>45580.580868055556</v>
      </c>
      <c r="P3526" t="s">
        <v>138</v>
      </c>
    </row>
    <row r="3527" spans="1:16" x14ac:dyDescent="0.3">
      <c r="A3527" t="s">
        <v>25</v>
      </c>
      <c r="B3527" s="1">
        <v>45580.512546296297</v>
      </c>
      <c r="C3527" t="str">
        <f t="shared" si="647"/>
        <v>41</v>
      </c>
      <c r="D3527" t="s">
        <v>120</v>
      </c>
      <c r="E3527" t="s">
        <v>116</v>
      </c>
      <c r="F3527" t="s">
        <v>117</v>
      </c>
      <c r="H3527" t="s">
        <v>898</v>
      </c>
      <c r="I3527" t="str">
        <f>"101050001842185"</f>
        <v>101050001842185</v>
      </c>
      <c r="J3527" t="str">
        <f>"128504"</f>
        <v>128504</v>
      </c>
      <c r="K3527" t="s">
        <v>71</v>
      </c>
      <c r="L3527">
        <v>49</v>
      </c>
      <c r="M3527">
        <v>49</v>
      </c>
      <c r="N3527">
        <v>0</v>
      </c>
      <c r="O3527" s="1">
        <v>45580.512546296297</v>
      </c>
      <c r="P3527" t="s">
        <v>138</v>
      </c>
    </row>
    <row r="3528" spans="1:16" x14ac:dyDescent="0.3">
      <c r="A3528" t="s">
        <v>25</v>
      </c>
      <c r="B3528" s="1">
        <v>45580.51253472222</v>
      </c>
      <c r="C3528" t="str">
        <f t="shared" si="647"/>
        <v>41</v>
      </c>
      <c r="D3528" t="s">
        <v>120</v>
      </c>
      <c r="E3528" t="s">
        <v>116</v>
      </c>
      <c r="F3528" t="s">
        <v>117</v>
      </c>
      <c r="H3528" t="s">
        <v>898</v>
      </c>
      <c r="I3528" t="str">
        <f>"101050001818205"</f>
        <v>101050001818205</v>
      </c>
      <c r="J3528" t="str">
        <f>"128504"</f>
        <v>128504</v>
      </c>
      <c r="K3528" t="s">
        <v>71</v>
      </c>
      <c r="L3528">
        <v>49</v>
      </c>
      <c r="M3528">
        <v>49</v>
      </c>
      <c r="N3528">
        <v>0</v>
      </c>
      <c r="O3528" s="1">
        <v>45580.51253472222</v>
      </c>
      <c r="P3528" t="s">
        <v>138</v>
      </c>
    </row>
    <row r="3529" spans="1:16" x14ac:dyDescent="0.3">
      <c r="A3529" t="s">
        <v>25</v>
      </c>
      <c r="B3529" s="1">
        <v>45580.51253472222</v>
      </c>
      <c r="C3529" t="str">
        <f t="shared" si="647"/>
        <v>41</v>
      </c>
      <c r="D3529" t="s">
        <v>120</v>
      </c>
      <c r="E3529" t="s">
        <v>116</v>
      </c>
      <c r="F3529" t="s">
        <v>117</v>
      </c>
      <c r="H3529" t="s">
        <v>898</v>
      </c>
      <c r="I3529" t="str">
        <f>"201010000943911"</f>
        <v>201010000943911</v>
      </c>
      <c r="J3529" t="str">
        <f>"124383"</f>
        <v>124383</v>
      </c>
      <c r="K3529" t="s">
        <v>36</v>
      </c>
      <c r="L3529">
        <v>88</v>
      </c>
      <c r="M3529">
        <v>88</v>
      </c>
      <c r="N3529">
        <v>0</v>
      </c>
      <c r="O3529" s="1">
        <v>45580.51253472222</v>
      </c>
      <c r="P3529" t="s">
        <v>138</v>
      </c>
    </row>
    <row r="3530" spans="1:16" x14ac:dyDescent="0.3">
      <c r="A3530" t="s">
        <v>25</v>
      </c>
      <c r="B3530" s="1">
        <v>45580.51253472222</v>
      </c>
      <c r="C3530" t="str">
        <f t="shared" si="647"/>
        <v>41</v>
      </c>
      <c r="D3530" t="s">
        <v>120</v>
      </c>
      <c r="E3530" t="s">
        <v>116</v>
      </c>
      <c r="F3530" t="s">
        <v>117</v>
      </c>
      <c r="H3530" t="s">
        <v>898</v>
      </c>
      <c r="I3530" t="str">
        <f>"240823160251922"</f>
        <v>240823160251922</v>
      </c>
      <c r="J3530" t="str">
        <f>"514494"</f>
        <v>514494</v>
      </c>
      <c r="K3530" t="s">
        <v>24</v>
      </c>
      <c r="L3530">
        <v>16</v>
      </c>
      <c r="M3530">
        <v>16</v>
      </c>
      <c r="N3530">
        <v>0</v>
      </c>
      <c r="O3530" s="1">
        <v>45580.51253472222</v>
      </c>
      <c r="P3530" t="s">
        <v>138</v>
      </c>
    </row>
    <row r="3531" spans="1:16" x14ac:dyDescent="0.3">
      <c r="A3531" t="s">
        <v>25</v>
      </c>
      <c r="B3531" s="1">
        <v>45580.51253472222</v>
      </c>
      <c r="C3531" t="str">
        <f t="shared" si="647"/>
        <v>41</v>
      </c>
      <c r="D3531" t="s">
        <v>120</v>
      </c>
      <c r="E3531" t="s">
        <v>116</v>
      </c>
      <c r="F3531" t="s">
        <v>117</v>
      </c>
      <c r="H3531" t="s">
        <v>898</v>
      </c>
      <c r="I3531" t="str">
        <f>"201010000943912"</f>
        <v>201010000943912</v>
      </c>
      <c r="J3531" t="str">
        <f>"124383"</f>
        <v>124383</v>
      </c>
      <c r="K3531" t="s">
        <v>36</v>
      </c>
      <c r="L3531">
        <v>40</v>
      </c>
      <c r="M3531">
        <v>40</v>
      </c>
      <c r="N3531">
        <v>0</v>
      </c>
      <c r="O3531" s="1">
        <v>45580.51253472222</v>
      </c>
      <c r="P3531" t="s">
        <v>138</v>
      </c>
    </row>
    <row r="3532" spans="1:16" x14ac:dyDescent="0.3">
      <c r="A3532" t="s">
        <v>25</v>
      </c>
      <c r="B3532" s="1">
        <v>45580.503784722219</v>
      </c>
      <c r="C3532" t="str">
        <f>"53"</f>
        <v>53</v>
      </c>
      <c r="D3532" t="s">
        <v>899</v>
      </c>
      <c r="E3532" t="s">
        <v>900</v>
      </c>
      <c r="F3532" t="s">
        <v>117</v>
      </c>
      <c r="H3532" t="s">
        <v>901</v>
      </c>
      <c r="I3532" t="str">
        <f>"241015175919187"</f>
        <v>241015175919187</v>
      </c>
      <c r="J3532" t="str">
        <f>"124837"</f>
        <v>124837</v>
      </c>
      <c r="K3532" t="s">
        <v>36</v>
      </c>
      <c r="L3532">
        <v>8</v>
      </c>
      <c r="M3532">
        <v>0</v>
      </c>
      <c r="N3532">
        <v>-8</v>
      </c>
      <c r="O3532" s="1">
        <v>45580.503819444442</v>
      </c>
      <c r="P3532" t="s">
        <v>466</v>
      </c>
    </row>
    <row r="3533" spans="1:16" x14ac:dyDescent="0.3">
      <c r="A3533" t="s">
        <v>25</v>
      </c>
      <c r="B3533" s="1">
        <v>45580.503761574073</v>
      </c>
      <c r="C3533" t="str">
        <f>"53"</f>
        <v>53</v>
      </c>
      <c r="D3533" t="s">
        <v>899</v>
      </c>
      <c r="E3533" t="s">
        <v>900</v>
      </c>
      <c r="F3533" t="s">
        <v>117</v>
      </c>
      <c r="H3533" t="s">
        <v>901</v>
      </c>
      <c r="I3533" t="str">
        <f>"241015175919187"</f>
        <v>241015175919187</v>
      </c>
      <c r="J3533" t="str">
        <f>"124616"</f>
        <v>124616</v>
      </c>
      <c r="K3533" t="s">
        <v>34</v>
      </c>
      <c r="L3533">
        <v>0</v>
      </c>
      <c r="M3533">
        <v>8</v>
      </c>
      <c r="N3533">
        <v>8</v>
      </c>
      <c r="O3533" s="1">
        <v>45580.503819444442</v>
      </c>
      <c r="P3533" t="s">
        <v>466</v>
      </c>
    </row>
    <row r="3534" spans="1:16" x14ac:dyDescent="0.3">
      <c r="A3534" t="s">
        <v>25</v>
      </c>
      <c r="B3534" s="1">
        <v>45580.470393518517</v>
      </c>
      <c r="C3534" t="str">
        <f t="shared" ref="C3534:C3540" si="648">"41"</f>
        <v>41</v>
      </c>
      <c r="D3534" t="s">
        <v>120</v>
      </c>
      <c r="E3534" t="s">
        <v>116</v>
      </c>
      <c r="F3534" t="s">
        <v>117</v>
      </c>
      <c r="H3534" t="s">
        <v>902</v>
      </c>
      <c r="I3534" t="str">
        <f>"101570001019353"</f>
        <v>101570001019353</v>
      </c>
      <c r="J3534" t="str">
        <f>"35549"</f>
        <v>35549</v>
      </c>
      <c r="K3534" t="s">
        <v>77</v>
      </c>
      <c r="L3534">
        <v>43</v>
      </c>
      <c r="M3534">
        <v>43</v>
      </c>
      <c r="N3534">
        <v>0</v>
      </c>
      <c r="O3534" s="1">
        <v>45580.470393518517</v>
      </c>
      <c r="P3534" t="s">
        <v>138</v>
      </c>
    </row>
    <row r="3535" spans="1:16" x14ac:dyDescent="0.3">
      <c r="A3535" t="s">
        <v>25</v>
      </c>
      <c r="B3535" s="1">
        <v>45580.470393518517</v>
      </c>
      <c r="C3535" t="str">
        <f t="shared" si="648"/>
        <v>41</v>
      </c>
      <c r="D3535" t="s">
        <v>120</v>
      </c>
      <c r="E3535" t="s">
        <v>116</v>
      </c>
      <c r="F3535" t="s">
        <v>117</v>
      </c>
      <c r="H3535" t="s">
        <v>902</v>
      </c>
      <c r="I3535" t="str">
        <f>"101570001019827"</f>
        <v>101570001019827</v>
      </c>
      <c r="J3535" t="str">
        <f>"35549"</f>
        <v>35549</v>
      </c>
      <c r="K3535" t="s">
        <v>77</v>
      </c>
      <c r="L3535">
        <v>49</v>
      </c>
      <c r="M3535">
        <v>49</v>
      </c>
      <c r="N3535">
        <v>0</v>
      </c>
      <c r="O3535" s="1">
        <v>45580.470393518517</v>
      </c>
      <c r="P3535" t="s">
        <v>138</v>
      </c>
    </row>
    <row r="3536" spans="1:16" x14ac:dyDescent="0.3">
      <c r="A3536" t="s">
        <v>25</v>
      </c>
      <c r="B3536" s="1">
        <v>45580.470393518517</v>
      </c>
      <c r="C3536" t="str">
        <f t="shared" si="648"/>
        <v>41</v>
      </c>
      <c r="D3536" t="s">
        <v>120</v>
      </c>
      <c r="E3536" t="s">
        <v>116</v>
      </c>
      <c r="F3536" t="s">
        <v>117</v>
      </c>
      <c r="H3536" t="s">
        <v>902</v>
      </c>
      <c r="I3536" t="str">
        <f>"101570001019829"</f>
        <v>101570001019829</v>
      </c>
      <c r="J3536" t="str">
        <f>"35549"</f>
        <v>35549</v>
      </c>
      <c r="K3536" t="s">
        <v>77</v>
      </c>
      <c r="L3536">
        <v>49</v>
      </c>
      <c r="M3536">
        <v>49</v>
      </c>
      <c r="N3536">
        <v>0</v>
      </c>
      <c r="O3536" s="1">
        <v>45580.470393518517</v>
      </c>
      <c r="P3536" t="s">
        <v>138</v>
      </c>
    </row>
    <row r="3537" spans="1:16" x14ac:dyDescent="0.3">
      <c r="A3537" t="s">
        <v>25</v>
      </c>
      <c r="B3537" s="1">
        <v>45580.470381944448</v>
      </c>
      <c r="C3537" t="str">
        <f t="shared" si="648"/>
        <v>41</v>
      </c>
      <c r="D3537" t="s">
        <v>120</v>
      </c>
      <c r="E3537" t="s">
        <v>116</v>
      </c>
      <c r="F3537" t="s">
        <v>117</v>
      </c>
      <c r="H3537" t="s">
        <v>902</v>
      </c>
      <c r="I3537" t="str">
        <f>"101570000993323"</f>
        <v>101570000993323</v>
      </c>
      <c r="J3537" t="str">
        <f>"35549"</f>
        <v>35549</v>
      </c>
      <c r="K3537" t="s">
        <v>77</v>
      </c>
      <c r="L3537">
        <v>49</v>
      </c>
      <c r="M3537">
        <v>49</v>
      </c>
      <c r="N3537">
        <v>0</v>
      </c>
      <c r="O3537" s="1">
        <v>45580.470381944448</v>
      </c>
      <c r="P3537" t="s">
        <v>138</v>
      </c>
    </row>
    <row r="3538" spans="1:16" x14ac:dyDescent="0.3">
      <c r="A3538" t="s">
        <v>25</v>
      </c>
      <c r="B3538" s="1">
        <v>45580.470381944448</v>
      </c>
      <c r="C3538" t="str">
        <f t="shared" si="648"/>
        <v>41</v>
      </c>
      <c r="D3538" t="s">
        <v>120</v>
      </c>
      <c r="E3538" t="s">
        <v>116</v>
      </c>
      <c r="F3538" t="s">
        <v>117</v>
      </c>
      <c r="H3538" t="s">
        <v>902</v>
      </c>
      <c r="I3538" t="str">
        <f>"101050001634828"</f>
        <v>101050001634828</v>
      </c>
      <c r="J3538" t="str">
        <f>"514490"</f>
        <v>514490</v>
      </c>
      <c r="K3538" t="s">
        <v>85</v>
      </c>
      <c r="L3538">
        <v>49</v>
      </c>
      <c r="M3538">
        <v>49</v>
      </c>
      <c r="N3538">
        <v>0</v>
      </c>
      <c r="O3538" s="1">
        <v>45580.470381944448</v>
      </c>
      <c r="P3538" t="s">
        <v>138</v>
      </c>
    </row>
    <row r="3539" spans="1:16" x14ac:dyDescent="0.3">
      <c r="A3539" t="s">
        <v>25</v>
      </c>
      <c r="B3539" s="1">
        <v>45580.470381944448</v>
      </c>
      <c r="C3539" t="str">
        <f t="shared" si="648"/>
        <v>41</v>
      </c>
      <c r="D3539" t="s">
        <v>120</v>
      </c>
      <c r="E3539" t="s">
        <v>116</v>
      </c>
      <c r="F3539" t="s">
        <v>117</v>
      </c>
      <c r="H3539" t="s">
        <v>902</v>
      </c>
      <c r="I3539" t="str">
        <f>"201010000938708"</f>
        <v>201010000938708</v>
      </c>
      <c r="J3539" t="str">
        <f>"127308"</f>
        <v>127308</v>
      </c>
      <c r="K3539" t="s">
        <v>57</v>
      </c>
      <c r="L3539">
        <v>29</v>
      </c>
      <c r="M3539">
        <v>29</v>
      </c>
      <c r="N3539">
        <v>0</v>
      </c>
      <c r="O3539" s="1">
        <v>45580.470381944448</v>
      </c>
      <c r="P3539" t="s">
        <v>138</v>
      </c>
    </row>
    <row r="3540" spans="1:16" x14ac:dyDescent="0.3">
      <c r="A3540" t="s">
        <v>25</v>
      </c>
      <c r="B3540" s="1">
        <v>45580.470381944448</v>
      </c>
      <c r="C3540" t="str">
        <f t="shared" si="648"/>
        <v>41</v>
      </c>
      <c r="D3540" t="s">
        <v>120</v>
      </c>
      <c r="E3540" t="s">
        <v>116</v>
      </c>
      <c r="F3540" t="s">
        <v>117</v>
      </c>
      <c r="H3540" t="s">
        <v>902</v>
      </c>
      <c r="I3540" t="str">
        <f>"201010000873719"</f>
        <v>201010000873719</v>
      </c>
      <c r="J3540" t="str">
        <f>"9745"</f>
        <v>9745</v>
      </c>
      <c r="K3540" t="s">
        <v>98</v>
      </c>
      <c r="L3540">
        <v>28</v>
      </c>
      <c r="M3540">
        <v>28</v>
      </c>
      <c r="N3540">
        <v>0</v>
      </c>
      <c r="O3540" s="1">
        <v>45580.470381944448</v>
      </c>
      <c r="P3540" t="s">
        <v>138</v>
      </c>
    </row>
    <row r="3541" spans="1:16" x14ac:dyDescent="0.3">
      <c r="A3541" t="s">
        <v>25</v>
      </c>
      <c r="B3541" s="1">
        <v>45580.45616898148</v>
      </c>
      <c r="C3541" t="str">
        <f t="shared" ref="C3541:C3569" si="649">"38"</f>
        <v>38</v>
      </c>
      <c r="D3541" t="s">
        <v>115</v>
      </c>
      <c r="E3541" t="s">
        <v>116</v>
      </c>
      <c r="F3541" t="s">
        <v>117</v>
      </c>
      <c r="H3541" t="s">
        <v>903</v>
      </c>
      <c r="L3541">
        <v>0</v>
      </c>
      <c r="M3541">
        <v>0</v>
      </c>
      <c r="N3541">
        <v>0</v>
      </c>
      <c r="O3541" s="1">
        <v>45580.45616898148</v>
      </c>
      <c r="P3541" t="s">
        <v>466</v>
      </c>
    </row>
    <row r="3542" spans="1:16" x14ac:dyDescent="0.3">
      <c r="A3542" t="s">
        <v>25</v>
      </c>
      <c r="B3542" s="1">
        <v>45580.456134259257</v>
      </c>
      <c r="C3542" t="str">
        <f t="shared" si="649"/>
        <v>38</v>
      </c>
      <c r="D3542" t="s">
        <v>115</v>
      </c>
      <c r="E3542" t="s">
        <v>116</v>
      </c>
      <c r="F3542" t="s">
        <v>117</v>
      </c>
      <c r="H3542" t="s">
        <v>904</v>
      </c>
      <c r="L3542">
        <v>0</v>
      </c>
      <c r="M3542">
        <v>0</v>
      </c>
      <c r="N3542">
        <v>0</v>
      </c>
      <c r="O3542" s="1">
        <v>45580.456134259257</v>
      </c>
      <c r="P3542" t="s">
        <v>466</v>
      </c>
    </row>
    <row r="3543" spans="1:16" x14ac:dyDescent="0.3">
      <c r="A3543" t="s">
        <v>25</v>
      </c>
      <c r="B3543" s="1">
        <v>45580.456064814818</v>
      </c>
      <c r="C3543" t="str">
        <f t="shared" si="649"/>
        <v>38</v>
      </c>
      <c r="D3543" t="s">
        <v>115</v>
      </c>
      <c r="E3543" t="s">
        <v>116</v>
      </c>
      <c r="F3543" t="s">
        <v>117</v>
      </c>
      <c r="H3543" t="s">
        <v>905</v>
      </c>
      <c r="L3543">
        <v>0</v>
      </c>
      <c r="M3543">
        <v>0</v>
      </c>
      <c r="N3543">
        <v>0</v>
      </c>
      <c r="O3543" s="1">
        <v>45580.456064814818</v>
      </c>
      <c r="P3543" t="s">
        <v>466</v>
      </c>
    </row>
    <row r="3544" spans="1:16" x14ac:dyDescent="0.3">
      <c r="A3544" t="s">
        <v>25</v>
      </c>
      <c r="B3544" s="1">
        <v>45580.456030092595</v>
      </c>
      <c r="C3544" t="str">
        <f t="shared" si="649"/>
        <v>38</v>
      </c>
      <c r="D3544" t="s">
        <v>115</v>
      </c>
      <c r="E3544" t="s">
        <v>116</v>
      </c>
      <c r="F3544" t="s">
        <v>117</v>
      </c>
      <c r="H3544" t="s">
        <v>906</v>
      </c>
      <c r="L3544">
        <v>0</v>
      </c>
      <c r="M3544">
        <v>0</v>
      </c>
      <c r="N3544">
        <v>0</v>
      </c>
      <c r="O3544" s="1">
        <v>45580.456030092595</v>
      </c>
      <c r="P3544" t="s">
        <v>466</v>
      </c>
    </row>
    <row r="3545" spans="1:16" x14ac:dyDescent="0.3">
      <c r="A3545" t="s">
        <v>25</v>
      </c>
      <c r="B3545" s="1">
        <v>45580.455995370372</v>
      </c>
      <c r="C3545" t="str">
        <f t="shared" si="649"/>
        <v>38</v>
      </c>
      <c r="D3545" t="s">
        <v>115</v>
      </c>
      <c r="E3545" t="s">
        <v>116</v>
      </c>
      <c r="F3545" t="s">
        <v>117</v>
      </c>
      <c r="H3545" t="s">
        <v>907</v>
      </c>
      <c r="L3545">
        <v>0</v>
      </c>
      <c r="M3545">
        <v>0</v>
      </c>
      <c r="N3545">
        <v>0</v>
      </c>
      <c r="O3545" s="1">
        <v>45580.455995370372</v>
      </c>
      <c r="P3545" t="s">
        <v>466</v>
      </c>
    </row>
    <row r="3546" spans="1:16" x14ac:dyDescent="0.3">
      <c r="A3546" t="s">
        <v>25</v>
      </c>
      <c r="B3546" s="1">
        <v>45580.455949074072</v>
      </c>
      <c r="C3546" t="str">
        <f t="shared" si="649"/>
        <v>38</v>
      </c>
      <c r="D3546" t="s">
        <v>115</v>
      </c>
      <c r="E3546" t="s">
        <v>116</v>
      </c>
      <c r="F3546" t="s">
        <v>117</v>
      </c>
      <c r="H3546" t="s">
        <v>908</v>
      </c>
      <c r="L3546">
        <v>0</v>
      </c>
      <c r="M3546">
        <v>0</v>
      </c>
      <c r="N3546">
        <v>0</v>
      </c>
      <c r="O3546" s="1">
        <v>45580.455949074072</v>
      </c>
      <c r="P3546" t="s">
        <v>466</v>
      </c>
    </row>
    <row r="3547" spans="1:16" x14ac:dyDescent="0.3">
      <c r="A3547" t="s">
        <v>25</v>
      </c>
      <c r="B3547" s="1">
        <v>45580.455914351849</v>
      </c>
      <c r="C3547" t="str">
        <f t="shared" si="649"/>
        <v>38</v>
      </c>
      <c r="D3547" t="s">
        <v>115</v>
      </c>
      <c r="E3547" t="s">
        <v>116</v>
      </c>
      <c r="F3547" t="s">
        <v>117</v>
      </c>
      <c r="H3547" t="s">
        <v>909</v>
      </c>
      <c r="L3547">
        <v>0</v>
      </c>
      <c r="M3547">
        <v>0</v>
      </c>
      <c r="N3547">
        <v>0</v>
      </c>
      <c r="O3547" s="1">
        <v>45580.455914351849</v>
      </c>
      <c r="P3547" t="s">
        <v>466</v>
      </c>
    </row>
    <row r="3548" spans="1:16" x14ac:dyDescent="0.3">
      <c r="A3548" t="s">
        <v>25</v>
      </c>
      <c r="B3548" s="1">
        <v>45580.455879629626</v>
      </c>
      <c r="C3548" t="str">
        <f t="shared" si="649"/>
        <v>38</v>
      </c>
      <c r="D3548" t="s">
        <v>115</v>
      </c>
      <c r="E3548" t="s">
        <v>116</v>
      </c>
      <c r="F3548" t="s">
        <v>117</v>
      </c>
      <c r="H3548" t="s">
        <v>910</v>
      </c>
      <c r="L3548">
        <v>0</v>
      </c>
      <c r="M3548">
        <v>0</v>
      </c>
      <c r="N3548">
        <v>0</v>
      </c>
      <c r="O3548" s="1">
        <v>45580.455879629626</v>
      </c>
      <c r="P3548" t="s">
        <v>466</v>
      </c>
    </row>
    <row r="3549" spans="1:16" x14ac:dyDescent="0.3">
      <c r="A3549" t="s">
        <v>25</v>
      </c>
      <c r="B3549" s="1">
        <v>45580.45584490741</v>
      </c>
      <c r="C3549" t="str">
        <f t="shared" si="649"/>
        <v>38</v>
      </c>
      <c r="D3549" t="s">
        <v>115</v>
      </c>
      <c r="E3549" t="s">
        <v>116</v>
      </c>
      <c r="F3549" t="s">
        <v>117</v>
      </c>
      <c r="H3549" t="s">
        <v>911</v>
      </c>
      <c r="L3549">
        <v>0</v>
      </c>
      <c r="M3549">
        <v>0</v>
      </c>
      <c r="N3549">
        <v>0</v>
      </c>
      <c r="O3549" s="1">
        <v>45580.45584490741</v>
      </c>
      <c r="P3549" t="s">
        <v>466</v>
      </c>
    </row>
    <row r="3550" spans="1:16" x14ac:dyDescent="0.3">
      <c r="A3550" t="s">
        <v>25</v>
      </c>
      <c r="B3550" s="1">
        <v>45580.45579861111</v>
      </c>
      <c r="C3550" t="str">
        <f t="shared" si="649"/>
        <v>38</v>
      </c>
      <c r="D3550" t="s">
        <v>115</v>
      </c>
      <c r="E3550" t="s">
        <v>116</v>
      </c>
      <c r="F3550" t="s">
        <v>117</v>
      </c>
      <c r="H3550" t="s">
        <v>912</v>
      </c>
      <c r="L3550">
        <v>0</v>
      </c>
      <c r="M3550">
        <v>0</v>
      </c>
      <c r="N3550">
        <v>0</v>
      </c>
      <c r="O3550" s="1">
        <v>45580.45579861111</v>
      </c>
      <c r="P3550" t="s">
        <v>466</v>
      </c>
    </row>
    <row r="3551" spans="1:16" x14ac:dyDescent="0.3">
      <c r="A3551" t="s">
        <v>25</v>
      </c>
      <c r="B3551" s="1">
        <v>45580.455763888887</v>
      </c>
      <c r="C3551" t="str">
        <f t="shared" si="649"/>
        <v>38</v>
      </c>
      <c r="D3551" t="s">
        <v>115</v>
      </c>
      <c r="E3551" t="s">
        <v>116</v>
      </c>
      <c r="F3551" t="s">
        <v>117</v>
      </c>
      <c r="H3551" t="s">
        <v>913</v>
      </c>
      <c r="L3551">
        <v>0</v>
      </c>
      <c r="M3551">
        <v>0</v>
      </c>
      <c r="N3551">
        <v>0</v>
      </c>
      <c r="O3551" s="1">
        <v>45580.455763888887</v>
      </c>
      <c r="P3551" t="s">
        <v>466</v>
      </c>
    </row>
    <row r="3552" spans="1:16" x14ac:dyDescent="0.3">
      <c r="A3552" t="s">
        <v>25</v>
      </c>
      <c r="B3552" s="1">
        <v>45580.455729166664</v>
      </c>
      <c r="C3552" t="str">
        <f t="shared" si="649"/>
        <v>38</v>
      </c>
      <c r="D3552" t="s">
        <v>115</v>
      </c>
      <c r="E3552" t="s">
        <v>116</v>
      </c>
      <c r="F3552" t="s">
        <v>117</v>
      </c>
      <c r="H3552" t="s">
        <v>914</v>
      </c>
      <c r="L3552">
        <v>0</v>
      </c>
      <c r="M3552">
        <v>0</v>
      </c>
      <c r="N3552">
        <v>0</v>
      </c>
      <c r="O3552" s="1">
        <v>45580.455729166664</v>
      </c>
      <c r="P3552" t="s">
        <v>466</v>
      </c>
    </row>
    <row r="3553" spans="1:16" x14ac:dyDescent="0.3">
      <c r="A3553" t="s">
        <v>25</v>
      </c>
      <c r="B3553" s="1">
        <v>45580.455694444441</v>
      </c>
      <c r="C3553" t="str">
        <f t="shared" si="649"/>
        <v>38</v>
      </c>
      <c r="D3553" t="s">
        <v>115</v>
      </c>
      <c r="E3553" t="s">
        <v>116</v>
      </c>
      <c r="F3553" t="s">
        <v>117</v>
      </c>
      <c r="H3553" t="s">
        <v>915</v>
      </c>
      <c r="L3553">
        <v>0</v>
      </c>
      <c r="M3553">
        <v>0</v>
      </c>
      <c r="N3553">
        <v>0</v>
      </c>
      <c r="O3553" s="1">
        <v>45580.455694444441</v>
      </c>
      <c r="P3553" t="s">
        <v>466</v>
      </c>
    </row>
    <row r="3554" spans="1:16" x14ac:dyDescent="0.3">
      <c r="A3554" t="s">
        <v>25</v>
      </c>
      <c r="B3554" s="1">
        <v>45580.455613425926</v>
      </c>
      <c r="C3554" t="str">
        <f t="shared" si="649"/>
        <v>38</v>
      </c>
      <c r="D3554" t="s">
        <v>115</v>
      </c>
      <c r="E3554" t="s">
        <v>116</v>
      </c>
      <c r="F3554" t="s">
        <v>117</v>
      </c>
      <c r="H3554" t="s">
        <v>916</v>
      </c>
      <c r="L3554">
        <v>0</v>
      </c>
      <c r="M3554">
        <v>0</v>
      </c>
      <c r="N3554">
        <v>0</v>
      </c>
      <c r="O3554" s="1">
        <v>45580.455613425926</v>
      </c>
      <c r="P3554" t="s">
        <v>466</v>
      </c>
    </row>
    <row r="3555" spans="1:16" x14ac:dyDescent="0.3">
      <c r="A3555" t="s">
        <v>25</v>
      </c>
      <c r="B3555" s="1">
        <v>45580.455567129633</v>
      </c>
      <c r="C3555" t="str">
        <f t="shared" si="649"/>
        <v>38</v>
      </c>
      <c r="D3555" t="s">
        <v>115</v>
      </c>
      <c r="E3555" t="s">
        <v>116</v>
      </c>
      <c r="F3555" t="s">
        <v>117</v>
      </c>
      <c r="H3555" t="s">
        <v>917</v>
      </c>
      <c r="L3555">
        <v>0</v>
      </c>
      <c r="M3555">
        <v>0</v>
      </c>
      <c r="N3555">
        <v>0</v>
      </c>
      <c r="O3555" s="1">
        <v>45580.455567129633</v>
      </c>
      <c r="P3555" t="s">
        <v>466</v>
      </c>
    </row>
    <row r="3556" spans="1:16" x14ac:dyDescent="0.3">
      <c r="A3556" t="s">
        <v>25</v>
      </c>
      <c r="B3556" s="1">
        <v>45580.45553240741</v>
      </c>
      <c r="C3556" t="str">
        <f t="shared" si="649"/>
        <v>38</v>
      </c>
      <c r="D3556" t="s">
        <v>115</v>
      </c>
      <c r="E3556" t="s">
        <v>116</v>
      </c>
      <c r="F3556" t="s">
        <v>117</v>
      </c>
      <c r="H3556" t="s">
        <v>918</v>
      </c>
      <c r="L3556">
        <v>0</v>
      </c>
      <c r="M3556">
        <v>0</v>
      </c>
      <c r="N3556">
        <v>0</v>
      </c>
      <c r="O3556" s="1">
        <v>45580.45553240741</v>
      </c>
      <c r="P3556" t="s">
        <v>466</v>
      </c>
    </row>
    <row r="3557" spans="1:16" x14ac:dyDescent="0.3">
      <c r="A3557" t="s">
        <v>25</v>
      </c>
      <c r="B3557" s="1">
        <v>45580.45548611111</v>
      </c>
      <c r="C3557" t="str">
        <f t="shared" si="649"/>
        <v>38</v>
      </c>
      <c r="D3557" t="s">
        <v>115</v>
      </c>
      <c r="E3557" t="s">
        <v>116</v>
      </c>
      <c r="F3557" t="s">
        <v>117</v>
      </c>
      <c r="H3557" t="s">
        <v>919</v>
      </c>
      <c r="L3557">
        <v>0</v>
      </c>
      <c r="M3557">
        <v>0</v>
      </c>
      <c r="N3557">
        <v>0</v>
      </c>
      <c r="O3557" s="1">
        <v>45580.45548611111</v>
      </c>
      <c r="P3557" t="s">
        <v>466</v>
      </c>
    </row>
    <row r="3558" spans="1:16" x14ac:dyDescent="0.3">
      <c r="A3558" t="s">
        <v>25</v>
      </c>
      <c r="B3558" s="1">
        <v>45580.455451388887</v>
      </c>
      <c r="C3558" t="str">
        <f t="shared" si="649"/>
        <v>38</v>
      </c>
      <c r="D3558" t="s">
        <v>115</v>
      </c>
      <c r="E3558" t="s">
        <v>116</v>
      </c>
      <c r="F3558" t="s">
        <v>117</v>
      </c>
      <c r="H3558" t="s">
        <v>920</v>
      </c>
      <c r="L3558">
        <v>0</v>
      </c>
      <c r="M3558">
        <v>0</v>
      </c>
      <c r="N3558">
        <v>0</v>
      </c>
      <c r="O3558" s="1">
        <v>45580.455451388887</v>
      </c>
      <c r="P3558" t="s">
        <v>466</v>
      </c>
    </row>
    <row r="3559" spans="1:16" x14ac:dyDescent="0.3">
      <c r="A3559" t="s">
        <v>25</v>
      </c>
      <c r="B3559" s="1">
        <v>45580.455416666664</v>
      </c>
      <c r="C3559" t="str">
        <f t="shared" si="649"/>
        <v>38</v>
      </c>
      <c r="D3559" t="s">
        <v>115</v>
      </c>
      <c r="E3559" t="s">
        <v>116</v>
      </c>
      <c r="F3559" t="s">
        <v>117</v>
      </c>
      <c r="H3559" t="s">
        <v>921</v>
      </c>
      <c r="L3559">
        <v>0</v>
      </c>
      <c r="M3559">
        <v>0</v>
      </c>
      <c r="N3559">
        <v>0</v>
      </c>
      <c r="O3559" s="1">
        <v>45580.455416666664</v>
      </c>
      <c r="P3559" t="s">
        <v>466</v>
      </c>
    </row>
    <row r="3560" spans="1:16" x14ac:dyDescent="0.3">
      <c r="A3560" t="s">
        <v>25</v>
      </c>
      <c r="B3560" s="1">
        <v>45580.455370370371</v>
      </c>
      <c r="C3560" t="str">
        <f t="shared" si="649"/>
        <v>38</v>
      </c>
      <c r="D3560" t="s">
        <v>115</v>
      </c>
      <c r="E3560" t="s">
        <v>116</v>
      </c>
      <c r="F3560" t="s">
        <v>117</v>
      </c>
      <c r="H3560" t="s">
        <v>922</v>
      </c>
      <c r="L3560">
        <v>0</v>
      </c>
      <c r="M3560">
        <v>0</v>
      </c>
      <c r="N3560">
        <v>0</v>
      </c>
      <c r="O3560" s="1">
        <v>45580.455370370371</v>
      </c>
      <c r="P3560" t="s">
        <v>466</v>
      </c>
    </row>
    <row r="3561" spans="1:16" x14ac:dyDescent="0.3">
      <c r="A3561" t="s">
        <v>25</v>
      </c>
      <c r="B3561" s="1">
        <v>45580.455289351848</v>
      </c>
      <c r="C3561" t="str">
        <f t="shared" si="649"/>
        <v>38</v>
      </c>
      <c r="D3561" t="s">
        <v>115</v>
      </c>
      <c r="E3561" t="s">
        <v>116</v>
      </c>
      <c r="F3561" t="s">
        <v>117</v>
      </c>
      <c r="H3561" t="s">
        <v>923</v>
      </c>
      <c r="L3561">
        <v>0</v>
      </c>
      <c r="M3561">
        <v>0</v>
      </c>
      <c r="N3561">
        <v>0</v>
      </c>
      <c r="O3561" s="1">
        <v>45580.455289351848</v>
      </c>
      <c r="P3561" t="s">
        <v>466</v>
      </c>
    </row>
    <row r="3562" spans="1:16" x14ac:dyDescent="0.3">
      <c r="A3562" t="s">
        <v>25</v>
      </c>
      <c r="B3562" s="1">
        <v>45580.455254629633</v>
      </c>
      <c r="C3562" t="str">
        <f t="shared" si="649"/>
        <v>38</v>
      </c>
      <c r="D3562" t="s">
        <v>115</v>
      </c>
      <c r="E3562" t="s">
        <v>116</v>
      </c>
      <c r="F3562" t="s">
        <v>117</v>
      </c>
      <c r="H3562" t="s">
        <v>924</v>
      </c>
      <c r="L3562">
        <v>0</v>
      </c>
      <c r="M3562">
        <v>0</v>
      </c>
      <c r="N3562">
        <v>0</v>
      </c>
      <c r="O3562" s="1">
        <v>45580.455254629633</v>
      </c>
      <c r="P3562" t="s">
        <v>466</v>
      </c>
    </row>
    <row r="3563" spans="1:16" x14ac:dyDescent="0.3">
      <c r="A3563" t="s">
        <v>25</v>
      </c>
      <c r="B3563" s="1">
        <v>45580.455208333333</v>
      </c>
      <c r="C3563" t="str">
        <f t="shared" si="649"/>
        <v>38</v>
      </c>
      <c r="D3563" t="s">
        <v>115</v>
      </c>
      <c r="E3563" t="s">
        <v>116</v>
      </c>
      <c r="F3563" t="s">
        <v>117</v>
      </c>
      <c r="H3563" t="s">
        <v>925</v>
      </c>
      <c r="L3563">
        <v>0</v>
      </c>
      <c r="M3563">
        <v>0</v>
      </c>
      <c r="N3563">
        <v>0</v>
      </c>
      <c r="O3563" s="1">
        <v>45580.455208333333</v>
      </c>
      <c r="P3563" t="s">
        <v>466</v>
      </c>
    </row>
    <row r="3564" spans="1:16" x14ac:dyDescent="0.3">
      <c r="A3564" t="s">
        <v>25</v>
      </c>
      <c r="B3564" s="1">
        <v>45580.45516203704</v>
      </c>
      <c r="C3564" t="str">
        <f t="shared" si="649"/>
        <v>38</v>
      </c>
      <c r="D3564" t="s">
        <v>115</v>
      </c>
      <c r="E3564" t="s">
        <v>116</v>
      </c>
      <c r="F3564" t="s">
        <v>117</v>
      </c>
      <c r="H3564" t="s">
        <v>926</v>
      </c>
      <c r="L3564">
        <v>0</v>
      </c>
      <c r="M3564">
        <v>0</v>
      </c>
      <c r="N3564">
        <v>0</v>
      </c>
      <c r="O3564" s="1">
        <v>45580.45516203704</v>
      </c>
      <c r="P3564" t="s">
        <v>466</v>
      </c>
    </row>
    <row r="3565" spans="1:16" x14ac:dyDescent="0.3">
      <c r="A3565" t="s">
        <v>25</v>
      </c>
      <c r="B3565" s="1">
        <v>45580.455127314817</v>
      </c>
      <c r="C3565" t="str">
        <f t="shared" si="649"/>
        <v>38</v>
      </c>
      <c r="D3565" t="s">
        <v>115</v>
      </c>
      <c r="E3565" t="s">
        <v>116</v>
      </c>
      <c r="F3565" t="s">
        <v>117</v>
      </c>
      <c r="H3565" t="s">
        <v>927</v>
      </c>
      <c r="L3565">
        <v>0</v>
      </c>
      <c r="M3565">
        <v>0</v>
      </c>
      <c r="N3565">
        <v>0</v>
      </c>
      <c r="O3565" s="1">
        <v>45580.455127314817</v>
      </c>
      <c r="P3565" t="s">
        <v>466</v>
      </c>
    </row>
    <row r="3566" spans="1:16" x14ac:dyDescent="0.3">
      <c r="A3566" t="s">
        <v>25</v>
      </c>
      <c r="B3566" s="1">
        <v>45580.455081018517</v>
      </c>
      <c r="C3566" t="str">
        <f t="shared" si="649"/>
        <v>38</v>
      </c>
      <c r="D3566" t="s">
        <v>115</v>
      </c>
      <c r="E3566" t="s">
        <v>116</v>
      </c>
      <c r="F3566" t="s">
        <v>117</v>
      </c>
      <c r="H3566" t="s">
        <v>928</v>
      </c>
      <c r="L3566">
        <v>0</v>
      </c>
      <c r="M3566">
        <v>0</v>
      </c>
      <c r="N3566">
        <v>0</v>
      </c>
      <c r="O3566" s="1">
        <v>45580.455081018517</v>
      </c>
      <c r="P3566" t="s">
        <v>466</v>
      </c>
    </row>
    <row r="3567" spans="1:16" x14ac:dyDescent="0.3">
      <c r="A3567" t="s">
        <v>25</v>
      </c>
      <c r="B3567" s="1">
        <v>45580.455034722225</v>
      </c>
      <c r="C3567" t="str">
        <f t="shared" si="649"/>
        <v>38</v>
      </c>
      <c r="D3567" t="s">
        <v>115</v>
      </c>
      <c r="E3567" t="s">
        <v>116</v>
      </c>
      <c r="F3567" t="s">
        <v>117</v>
      </c>
      <c r="H3567" t="s">
        <v>929</v>
      </c>
      <c r="L3567">
        <v>0</v>
      </c>
      <c r="M3567">
        <v>0</v>
      </c>
      <c r="N3567">
        <v>0</v>
      </c>
      <c r="O3567" s="1">
        <v>45580.455034722225</v>
      </c>
      <c r="P3567" t="s">
        <v>466</v>
      </c>
    </row>
    <row r="3568" spans="1:16" x14ac:dyDescent="0.3">
      <c r="A3568" t="s">
        <v>25</v>
      </c>
      <c r="B3568" s="1">
        <v>45580.455000000002</v>
      </c>
      <c r="C3568" t="str">
        <f t="shared" si="649"/>
        <v>38</v>
      </c>
      <c r="D3568" t="s">
        <v>115</v>
      </c>
      <c r="E3568" t="s">
        <v>116</v>
      </c>
      <c r="F3568" t="s">
        <v>117</v>
      </c>
      <c r="H3568" t="s">
        <v>930</v>
      </c>
      <c r="L3568">
        <v>0</v>
      </c>
      <c r="M3568">
        <v>0</v>
      </c>
      <c r="N3568">
        <v>0</v>
      </c>
      <c r="O3568" s="1">
        <v>45580.455000000002</v>
      </c>
      <c r="P3568" t="s">
        <v>466</v>
      </c>
    </row>
    <row r="3569" spans="1:16" x14ac:dyDescent="0.3">
      <c r="A3569" t="s">
        <v>25</v>
      </c>
      <c r="B3569" s="1">
        <v>45580.454953703702</v>
      </c>
      <c r="C3569" t="str">
        <f t="shared" si="649"/>
        <v>38</v>
      </c>
      <c r="D3569" t="s">
        <v>115</v>
      </c>
      <c r="E3569" t="s">
        <v>116</v>
      </c>
      <c r="F3569" t="s">
        <v>117</v>
      </c>
      <c r="H3569" t="s">
        <v>931</v>
      </c>
      <c r="L3569">
        <v>0</v>
      </c>
      <c r="M3569">
        <v>0</v>
      </c>
      <c r="N3569">
        <v>0</v>
      </c>
      <c r="O3569" s="1">
        <v>45580.454953703702</v>
      </c>
      <c r="P3569" t="s">
        <v>466</v>
      </c>
    </row>
    <row r="3570" spans="1:16" x14ac:dyDescent="0.3">
      <c r="A3570" t="s">
        <v>25</v>
      </c>
      <c r="B3570" s="1">
        <v>45579.744629629633</v>
      </c>
      <c r="C3570" t="str">
        <f>"41"</f>
        <v>41</v>
      </c>
      <c r="D3570" t="s">
        <v>120</v>
      </c>
      <c r="E3570" t="s">
        <v>116</v>
      </c>
      <c r="F3570" t="s">
        <v>117</v>
      </c>
      <c r="H3570" t="s">
        <v>468</v>
      </c>
      <c r="I3570" t="str">
        <f>"101010000230383"</f>
        <v>101010000230383</v>
      </c>
      <c r="J3570" t="str">
        <f>"515061"</f>
        <v>515061</v>
      </c>
      <c r="K3570" t="s">
        <v>96</v>
      </c>
      <c r="L3570">
        <v>7</v>
      </c>
      <c r="M3570">
        <v>7</v>
      </c>
      <c r="N3570">
        <v>0</v>
      </c>
      <c r="O3570" s="1">
        <v>45579.744629629633</v>
      </c>
      <c r="P3570" t="s">
        <v>466</v>
      </c>
    </row>
    <row r="3571" spans="1:16" x14ac:dyDescent="0.3">
      <c r="A3571" t="s">
        <v>25</v>
      </c>
      <c r="B3571" s="1">
        <v>45579.744629629633</v>
      </c>
      <c r="C3571" t="str">
        <f>"41"</f>
        <v>41</v>
      </c>
      <c r="D3571" t="s">
        <v>120</v>
      </c>
      <c r="E3571" t="s">
        <v>116</v>
      </c>
      <c r="F3571" t="s">
        <v>117</v>
      </c>
      <c r="H3571" t="s">
        <v>468</v>
      </c>
      <c r="I3571" t="str">
        <f>"101010000230383"</f>
        <v>101010000230383</v>
      </c>
      <c r="J3571" t="str">
        <f>"515060"</f>
        <v>515060</v>
      </c>
      <c r="K3571" t="s">
        <v>95</v>
      </c>
      <c r="L3571">
        <v>7</v>
      </c>
      <c r="M3571">
        <v>7</v>
      </c>
      <c r="N3571">
        <v>0</v>
      </c>
      <c r="O3571" s="1">
        <v>45579.744629629633</v>
      </c>
      <c r="P3571" t="s">
        <v>466</v>
      </c>
    </row>
    <row r="3572" spans="1:16" x14ac:dyDescent="0.3">
      <c r="A3572" t="s">
        <v>25</v>
      </c>
      <c r="B3572" s="1">
        <v>45579.744629629633</v>
      </c>
      <c r="C3572" t="str">
        <f>"39"</f>
        <v>39</v>
      </c>
      <c r="D3572" t="s">
        <v>467</v>
      </c>
      <c r="E3572" t="s">
        <v>116</v>
      </c>
      <c r="F3572" t="s">
        <v>117</v>
      </c>
      <c r="G3572" t="s">
        <v>221</v>
      </c>
      <c r="H3572" t="s">
        <v>468</v>
      </c>
      <c r="I3572" t="str">
        <f>"101010000230383"</f>
        <v>101010000230383</v>
      </c>
      <c r="J3572" t="str">
        <f>"515061"</f>
        <v>515061</v>
      </c>
      <c r="K3572" t="s">
        <v>96</v>
      </c>
      <c r="L3572">
        <v>0</v>
      </c>
      <c r="M3572">
        <v>7</v>
      </c>
      <c r="N3572">
        <v>7</v>
      </c>
      <c r="O3572" s="1">
        <v>45579.744629629633</v>
      </c>
      <c r="P3572" t="s">
        <v>466</v>
      </c>
    </row>
    <row r="3573" spans="1:16" x14ac:dyDescent="0.3">
      <c r="A3573" t="s">
        <v>25</v>
      </c>
      <c r="B3573" s="1">
        <v>45579.744629629633</v>
      </c>
      <c r="C3573" t="str">
        <f>"39"</f>
        <v>39</v>
      </c>
      <c r="D3573" t="s">
        <v>467</v>
      </c>
      <c r="E3573" t="s">
        <v>116</v>
      </c>
      <c r="F3573" t="s">
        <v>117</v>
      </c>
      <c r="G3573" t="s">
        <v>221</v>
      </c>
      <c r="H3573" t="s">
        <v>468</v>
      </c>
      <c r="I3573" t="str">
        <f>"101010000230383"</f>
        <v>101010000230383</v>
      </c>
      <c r="J3573" t="str">
        <f>"515060"</f>
        <v>515060</v>
      </c>
      <c r="K3573" t="s">
        <v>95</v>
      </c>
      <c r="L3573">
        <v>0</v>
      </c>
      <c r="M3573">
        <v>7</v>
      </c>
      <c r="N3573">
        <v>7</v>
      </c>
      <c r="O3573" s="1">
        <v>45579.744629629633</v>
      </c>
      <c r="P3573" t="s">
        <v>466</v>
      </c>
    </row>
    <row r="3574" spans="1:16" x14ac:dyDescent="0.3">
      <c r="A3574" t="s">
        <v>25</v>
      </c>
      <c r="B3574" s="1">
        <v>45579.744618055556</v>
      </c>
      <c r="C3574" t="str">
        <f>"41"</f>
        <v>41</v>
      </c>
      <c r="D3574" t="s">
        <v>120</v>
      </c>
      <c r="E3574" t="s">
        <v>116</v>
      </c>
      <c r="F3574" t="s">
        <v>117</v>
      </c>
      <c r="H3574" t="s">
        <v>468</v>
      </c>
      <c r="I3574" t="str">
        <f>"101050001996193"</f>
        <v>101050001996193</v>
      </c>
      <c r="J3574" t="str">
        <f>"127924"</f>
        <v>127924</v>
      </c>
      <c r="K3574" t="s">
        <v>3</v>
      </c>
      <c r="L3574">
        <v>49</v>
      </c>
      <c r="M3574">
        <v>49</v>
      </c>
      <c r="N3574">
        <v>0</v>
      </c>
      <c r="O3574" s="1">
        <v>45579.744618055556</v>
      </c>
      <c r="P3574" t="s">
        <v>466</v>
      </c>
    </row>
    <row r="3575" spans="1:16" x14ac:dyDescent="0.3">
      <c r="A3575" t="s">
        <v>25</v>
      </c>
      <c r="B3575" s="1">
        <v>45579.744618055556</v>
      </c>
      <c r="C3575" t="str">
        <f>"39"</f>
        <v>39</v>
      </c>
      <c r="D3575" t="s">
        <v>467</v>
      </c>
      <c r="E3575" t="s">
        <v>116</v>
      </c>
      <c r="F3575" t="s">
        <v>117</v>
      </c>
      <c r="G3575" t="s">
        <v>221</v>
      </c>
      <c r="H3575" t="s">
        <v>468</v>
      </c>
      <c r="I3575" t="str">
        <f>"101050001996193"</f>
        <v>101050001996193</v>
      </c>
      <c r="J3575" t="str">
        <f>"127924"</f>
        <v>127924</v>
      </c>
      <c r="K3575" t="s">
        <v>3</v>
      </c>
      <c r="L3575">
        <v>0</v>
      </c>
      <c r="M3575">
        <v>49</v>
      </c>
      <c r="N3575">
        <v>49</v>
      </c>
      <c r="O3575" s="1">
        <v>45579.744618055556</v>
      </c>
      <c r="P3575" t="s">
        <v>466</v>
      </c>
    </row>
    <row r="3576" spans="1:16" x14ac:dyDescent="0.3">
      <c r="A3576" t="s">
        <v>25</v>
      </c>
      <c r="B3576" s="1">
        <v>45579.744618055556</v>
      </c>
      <c r="C3576" t="str">
        <f>"41"</f>
        <v>41</v>
      </c>
      <c r="D3576" t="s">
        <v>120</v>
      </c>
      <c r="E3576" t="s">
        <v>116</v>
      </c>
      <c r="F3576" t="s">
        <v>117</v>
      </c>
      <c r="H3576" t="s">
        <v>468</v>
      </c>
      <c r="I3576" t="str">
        <f>"101010000229923"</f>
        <v>101010000229923</v>
      </c>
      <c r="J3576" t="str">
        <f>"128827"</f>
        <v>128827</v>
      </c>
      <c r="K3576" t="s">
        <v>73</v>
      </c>
      <c r="L3576">
        <v>19</v>
      </c>
      <c r="M3576">
        <v>19</v>
      </c>
      <c r="N3576">
        <v>0</v>
      </c>
      <c r="O3576" s="1">
        <v>45579.744618055556</v>
      </c>
      <c r="P3576" t="s">
        <v>466</v>
      </c>
    </row>
    <row r="3577" spans="1:16" x14ac:dyDescent="0.3">
      <c r="A3577" t="s">
        <v>25</v>
      </c>
      <c r="B3577" s="1">
        <v>45579.744606481479</v>
      </c>
      <c r="C3577" t="str">
        <f>"39"</f>
        <v>39</v>
      </c>
      <c r="D3577" t="s">
        <v>467</v>
      </c>
      <c r="E3577" t="s">
        <v>116</v>
      </c>
      <c r="F3577" t="s">
        <v>117</v>
      </c>
      <c r="G3577" t="s">
        <v>221</v>
      </c>
      <c r="H3577" t="s">
        <v>468</v>
      </c>
      <c r="I3577" t="str">
        <f>"101010000229923"</f>
        <v>101010000229923</v>
      </c>
      <c r="J3577" t="str">
        <f>"128827"</f>
        <v>128827</v>
      </c>
      <c r="K3577" t="s">
        <v>73</v>
      </c>
      <c r="L3577">
        <v>0</v>
      </c>
      <c r="M3577">
        <v>19</v>
      </c>
      <c r="N3577">
        <v>19</v>
      </c>
      <c r="O3577" s="1">
        <v>45579.744606481479</v>
      </c>
      <c r="P3577" t="s">
        <v>466</v>
      </c>
    </row>
    <row r="3578" spans="1:16" x14ac:dyDescent="0.3">
      <c r="A3578" t="s">
        <v>25</v>
      </c>
      <c r="B3578" s="1">
        <v>45579.744606481479</v>
      </c>
      <c r="C3578" t="str">
        <f>"41"</f>
        <v>41</v>
      </c>
      <c r="D3578" t="s">
        <v>120</v>
      </c>
      <c r="E3578" t="s">
        <v>116</v>
      </c>
      <c r="F3578" t="s">
        <v>117</v>
      </c>
      <c r="H3578" t="s">
        <v>468</v>
      </c>
      <c r="I3578" t="str">
        <f>"201010000912715"</f>
        <v>201010000912715</v>
      </c>
      <c r="J3578" t="str">
        <f>"514649"</f>
        <v>514649</v>
      </c>
      <c r="K3578" t="s">
        <v>932</v>
      </c>
      <c r="L3578">
        <v>1</v>
      </c>
      <c r="M3578">
        <v>1</v>
      </c>
      <c r="N3578">
        <v>0</v>
      </c>
      <c r="O3578" s="1">
        <v>45579.744606481479</v>
      </c>
      <c r="P3578" t="s">
        <v>466</v>
      </c>
    </row>
    <row r="3579" spans="1:16" x14ac:dyDescent="0.3">
      <c r="A3579" t="s">
        <v>25</v>
      </c>
      <c r="B3579" s="1">
        <v>45579.744606481479</v>
      </c>
      <c r="C3579" t="str">
        <f>"39"</f>
        <v>39</v>
      </c>
      <c r="D3579" t="s">
        <v>467</v>
      </c>
      <c r="E3579" t="s">
        <v>116</v>
      </c>
      <c r="F3579" t="s">
        <v>117</v>
      </c>
      <c r="G3579" t="s">
        <v>221</v>
      </c>
      <c r="H3579" t="s">
        <v>468</v>
      </c>
      <c r="I3579" t="str">
        <f>"201010000912715"</f>
        <v>201010000912715</v>
      </c>
      <c r="J3579" t="str">
        <f>"514649"</f>
        <v>514649</v>
      </c>
      <c r="K3579" t="s">
        <v>932</v>
      </c>
      <c r="L3579">
        <v>0</v>
      </c>
      <c r="M3579">
        <v>1</v>
      </c>
      <c r="N3579">
        <v>1</v>
      </c>
      <c r="O3579" s="1">
        <v>45579.744606481479</v>
      </c>
      <c r="P3579" t="s">
        <v>466</v>
      </c>
    </row>
    <row r="3580" spans="1:16" x14ac:dyDescent="0.3">
      <c r="A3580" t="s">
        <v>25</v>
      </c>
      <c r="B3580" s="1">
        <v>45579.744606481479</v>
      </c>
      <c r="C3580" t="str">
        <f>"41"</f>
        <v>41</v>
      </c>
      <c r="D3580" t="s">
        <v>120</v>
      </c>
      <c r="E3580" t="s">
        <v>116</v>
      </c>
      <c r="F3580" t="s">
        <v>117</v>
      </c>
      <c r="H3580" t="s">
        <v>468</v>
      </c>
      <c r="I3580" t="str">
        <f>"240824160407385"</f>
        <v>240824160407385</v>
      </c>
      <c r="J3580" t="str">
        <f>"42126"</f>
        <v>42126</v>
      </c>
      <c r="K3580" t="s">
        <v>79</v>
      </c>
      <c r="L3580">
        <v>6</v>
      </c>
      <c r="M3580">
        <v>6</v>
      </c>
      <c r="N3580">
        <v>0</v>
      </c>
      <c r="O3580" s="1">
        <v>45579.744606481479</v>
      </c>
      <c r="P3580" t="s">
        <v>466</v>
      </c>
    </row>
    <row r="3581" spans="1:16" x14ac:dyDescent="0.3">
      <c r="A3581" t="s">
        <v>25</v>
      </c>
      <c r="B3581" s="1">
        <v>45579.74459490741</v>
      </c>
      <c r="C3581" t="str">
        <f>"39"</f>
        <v>39</v>
      </c>
      <c r="D3581" t="s">
        <v>467</v>
      </c>
      <c r="E3581" t="s">
        <v>116</v>
      </c>
      <c r="F3581" t="s">
        <v>117</v>
      </c>
      <c r="G3581" t="s">
        <v>221</v>
      </c>
      <c r="H3581" t="s">
        <v>468</v>
      </c>
      <c r="I3581" t="str">
        <f>"240824160407385"</f>
        <v>240824160407385</v>
      </c>
      <c r="J3581" t="str">
        <f>"42126"</f>
        <v>42126</v>
      </c>
      <c r="K3581" t="s">
        <v>79</v>
      </c>
      <c r="L3581">
        <v>0</v>
      </c>
      <c r="M3581">
        <v>6</v>
      </c>
      <c r="N3581">
        <v>6</v>
      </c>
      <c r="O3581" s="1">
        <v>45579.74459490741</v>
      </c>
      <c r="P3581" t="s">
        <v>466</v>
      </c>
    </row>
    <row r="3582" spans="1:16" x14ac:dyDescent="0.3">
      <c r="A3582" t="s">
        <v>25</v>
      </c>
      <c r="B3582" s="1">
        <v>45579.74459490741</v>
      </c>
      <c r="C3582" t="str">
        <f>"41"</f>
        <v>41</v>
      </c>
      <c r="D3582" s="2" t="s">
        <v>120</v>
      </c>
      <c r="E3582" t="s">
        <v>116</v>
      </c>
      <c r="F3582" t="s">
        <v>117</v>
      </c>
      <c r="H3582" t="s">
        <v>468</v>
      </c>
      <c r="I3582" t="str">
        <f>"201010000860818"</f>
        <v>201010000860818</v>
      </c>
      <c r="J3582" t="str">
        <f>"35549"</f>
        <v>35549</v>
      </c>
      <c r="K3582" t="s">
        <v>77</v>
      </c>
      <c r="L3582">
        <v>8</v>
      </c>
      <c r="M3582">
        <v>8</v>
      </c>
      <c r="N3582">
        <v>0</v>
      </c>
      <c r="O3582" s="1">
        <v>45579.74459490741</v>
      </c>
      <c r="P3582" t="s">
        <v>466</v>
      </c>
    </row>
    <row r="3583" spans="1:16" x14ac:dyDescent="0.3">
      <c r="A3583" t="s">
        <v>25</v>
      </c>
      <c r="B3583" s="1">
        <v>45579.74459490741</v>
      </c>
      <c r="C3583" t="str">
        <f>"39"</f>
        <v>39</v>
      </c>
      <c r="D3583" t="s">
        <v>467</v>
      </c>
      <c r="E3583" t="s">
        <v>116</v>
      </c>
      <c r="F3583" t="s">
        <v>117</v>
      </c>
      <c r="G3583" t="s">
        <v>221</v>
      </c>
      <c r="H3583" t="s">
        <v>468</v>
      </c>
      <c r="I3583" t="str">
        <f>"201010000860818"</f>
        <v>201010000860818</v>
      </c>
      <c r="J3583" t="str">
        <f>"35549"</f>
        <v>35549</v>
      </c>
      <c r="K3583" t="s">
        <v>77</v>
      </c>
      <c r="L3583">
        <v>0</v>
      </c>
      <c r="M3583">
        <v>8</v>
      </c>
      <c r="N3583">
        <v>8</v>
      </c>
      <c r="O3583" s="1">
        <v>45579.74459490741</v>
      </c>
      <c r="P3583" t="s">
        <v>466</v>
      </c>
    </row>
    <row r="3584" spans="1:16" x14ac:dyDescent="0.3">
      <c r="A3584" t="s">
        <v>25</v>
      </c>
      <c r="B3584" s="1">
        <v>45579.74459490741</v>
      </c>
      <c r="C3584" t="str">
        <f>"41"</f>
        <v>41</v>
      </c>
      <c r="D3584" t="s">
        <v>120</v>
      </c>
      <c r="E3584" t="s">
        <v>116</v>
      </c>
      <c r="F3584" t="s">
        <v>117</v>
      </c>
      <c r="H3584" t="s">
        <v>468</v>
      </c>
      <c r="I3584" t="str">
        <f>"101050001634828"</f>
        <v>101050001634828</v>
      </c>
      <c r="J3584" t="str">
        <f>"514490"</f>
        <v>514490</v>
      </c>
      <c r="K3584" t="s">
        <v>85</v>
      </c>
      <c r="L3584">
        <v>49</v>
      </c>
      <c r="M3584">
        <v>49</v>
      </c>
      <c r="N3584">
        <v>0</v>
      </c>
      <c r="O3584" s="1">
        <v>45579.74459490741</v>
      </c>
      <c r="P3584" t="s">
        <v>466</v>
      </c>
    </row>
    <row r="3585" spans="1:16" x14ac:dyDescent="0.3">
      <c r="A3585" t="s">
        <v>25</v>
      </c>
      <c r="B3585" s="1">
        <v>45579.744583333333</v>
      </c>
      <c r="C3585" t="str">
        <f>"39"</f>
        <v>39</v>
      </c>
      <c r="D3585" t="s">
        <v>467</v>
      </c>
      <c r="E3585" t="s">
        <v>116</v>
      </c>
      <c r="F3585" t="s">
        <v>117</v>
      </c>
      <c r="G3585" t="s">
        <v>221</v>
      </c>
      <c r="H3585" t="s">
        <v>468</v>
      </c>
      <c r="I3585" t="str">
        <f>"101050001634828"</f>
        <v>101050001634828</v>
      </c>
      <c r="J3585" t="str">
        <f>"514490"</f>
        <v>514490</v>
      </c>
      <c r="K3585" t="s">
        <v>85</v>
      </c>
      <c r="L3585">
        <v>0</v>
      </c>
      <c r="M3585">
        <v>49</v>
      </c>
      <c r="N3585">
        <v>49</v>
      </c>
      <c r="O3585" s="1">
        <v>45579.744583333333</v>
      </c>
      <c r="P3585" t="s">
        <v>466</v>
      </c>
    </row>
    <row r="3586" spans="1:16" x14ac:dyDescent="0.3">
      <c r="A3586" t="s">
        <v>25</v>
      </c>
      <c r="B3586" s="1">
        <v>45579.512476851851</v>
      </c>
      <c r="C3586" t="str">
        <f>"38"</f>
        <v>38</v>
      </c>
      <c r="D3586" t="s">
        <v>115</v>
      </c>
      <c r="E3586" t="s">
        <v>116</v>
      </c>
      <c r="F3586" t="s">
        <v>117</v>
      </c>
      <c r="H3586" t="s">
        <v>525</v>
      </c>
      <c r="L3586">
        <v>0</v>
      </c>
      <c r="M3586">
        <v>0</v>
      </c>
      <c r="N3586">
        <v>0</v>
      </c>
      <c r="O3586" s="1">
        <v>45579.512476851851</v>
      </c>
      <c r="P3586" t="s">
        <v>138</v>
      </c>
    </row>
    <row r="3587" spans="1:16" x14ac:dyDescent="0.3">
      <c r="A3587" t="s">
        <v>25</v>
      </c>
      <c r="B3587" s="1">
        <v>45579.512476851851</v>
      </c>
      <c r="C3587" t="str">
        <f>"41"</f>
        <v>41</v>
      </c>
      <c r="D3587" t="s">
        <v>120</v>
      </c>
      <c r="E3587" t="s">
        <v>116</v>
      </c>
      <c r="F3587" t="s">
        <v>117</v>
      </c>
      <c r="H3587" t="s">
        <v>525</v>
      </c>
      <c r="I3587" t="str">
        <f>"101050002019341"</f>
        <v>101050002019341</v>
      </c>
      <c r="J3587" t="str">
        <f>"515120"</f>
        <v>515120</v>
      </c>
      <c r="K3587" t="s">
        <v>2</v>
      </c>
      <c r="L3587">
        <v>49</v>
      </c>
      <c r="M3587">
        <v>49</v>
      </c>
      <c r="N3587">
        <v>0</v>
      </c>
      <c r="O3587" s="1">
        <v>45579.512476851851</v>
      </c>
      <c r="P3587" t="s">
        <v>138</v>
      </c>
    </row>
    <row r="3588" spans="1:16" x14ac:dyDescent="0.3">
      <c r="A3588" t="s">
        <v>25</v>
      </c>
      <c r="B3588" s="1">
        <v>45579.512476851851</v>
      </c>
      <c r="C3588" t="str">
        <f>"41"</f>
        <v>41</v>
      </c>
      <c r="D3588" t="s">
        <v>120</v>
      </c>
      <c r="E3588" t="s">
        <v>116</v>
      </c>
      <c r="F3588" t="s">
        <v>117</v>
      </c>
      <c r="H3588" t="s">
        <v>525</v>
      </c>
      <c r="I3588" t="str">
        <f>"101050002018280"</f>
        <v>101050002018280</v>
      </c>
      <c r="J3588" t="str">
        <f>"515120"</f>
        <v>515120</v>
      </c>
      <c r="K3588" t="s">
        <v>2</v>
      </c>
      <c r="L3588">
        <v>49</v>
      </c>
      <c r="M3588">
        <v>49</v>
      </c>
      <c r="N3588">
        <v>0</v>
      </c>
      <c r="O3588" s="1">
        <v>45579.512476851851</v>
      </c>
      <c r="P3588" t="s">
        <v>138</v>
      </c>
    </row>
    <row r="3589" spans="1:16" x14ac:dyDescent="0.3">
      <c r="A3589" t="s">
        <v>25</v>
      </c>
      <c r="B3589" s="1">
        <v>45579.512476851851</v>
      </c>
      <c r="C3589" t="str">
        <f>"41"</f>
        <v>41</v>
      </c>
      <c r="D3589" t="s">
        <v>120</v>
      </c>
      <c r="E3589" t="s">
        <v>116</v>
      </c>
      <c r="F3589" t="s">
        <v>117</v>
      </c>
      <c r="H3589" t="s">
        <v>525</v>
      </c>
      <c r="I3589" t="str">
        <f>"101050002017643"</f>
        <v>101050002017643</v>
      </c>
      <c r="J3589" t="str">
        <f>"515120"</f>
        <v>515120</v>
      </c>
      <c r="K3589" t="s">
        <v>2</v>
      </c>
      <c r="L3589">
        <v>49</v>
      </c>
      <c r="M3589">
        <v>49</v>
      </c>
      <c r="N3589">
        <v>0</v>
      </c>
      <c r="O3589" s="1">
        <v>45579.512476851851</v>
      </c>
      <c r="P3589" t="s">
        <v>138</v>
      </c>
    </row>
    <row r="3590" spans="1:16" x14ac:dyDescent="0.3">
      <c r="A3590" t="s">
        <v>25</v>
      </c>
      <c r="B3590" s="1">
        <v>45579.514884259261</v>
      </c>
      <c r="C3590" t="str">
        <f>"19"</f>
        <v>19</v>
      </c>
      <c r="D3590" t="s">
        <v>933</v>
      </c>
      <c r="E3590" t="s">
        <v>900</v>
      </c>
      <c r="F3590" t="s">
        <v>934</v>
      </c>
      <c r="H3590" t="s">
        <v>935</v>
      </c>
      <c r="J3590" t="str">
        <f>"128814"</f>
        <v>128814</v>
      </c>
      <c r="K3590" t="s">
        <v>72</v>
      </c>
      <c r="L3590">
        <v>30</v>
      </c>
      <c r="M3590">
        <v>38</v>
      </c>
      <c r="N3590">
        <v>8</v>
      </c>
      <c r="O3590" s="1">
        <v>45579.5155787037</v>
      </c>
      <c r="P3590" t="s">
        <v>466</v>
      </c>
    </row>
    <row r="3591" spans="1:16" x14ac:dyDescent="0.3">
      <c r="A3591" t="s">
        <v>25</v>
      </c>
      <c r="B3591" s="1">
        <v>45579.502488425926</v>
      </c>
      <c r="C3591" t="str">
        <f>"38"</f>
        <v>38</v>
      </c>
      <c r="D3591" t="s">
        <v>115</v>
      </c>
      <c r="E3591" t="s">
        <v>116</v>
      </c>
      <c r="F3591" t="s">
        <v>117</v>
      </c>
      <c r="H3591" t="s">
        <v>936</v>
      </c>
      <c r="L3591">
        <v>0</v>
      </c>
      <c r="M3591">
        <v>0</v>
      </c>
      <c r="N3591">
        <v>0</v>
      </c>
      <c r="O3591" s="1">
        <v>45579.502488425926</v>
      </c>
      <c r="P3591" t="s">
        <v>138</v>
      </c>
    </row>
    <row r="3592" spans="1:16" x14ac:dyDescent="0.3">
      <c r="A3592" t="s">
        <v>25</v>
      </c>
      <c r="B3592" s="1">
        <v>45579.502488425926</v>
      </c>
      <c r="C3592" t="str">
        <f t="shared" ref="C3592:C3606" si="650">"41"</f>
        <v>41</v>
      </c>
      <c r="D3592" t="s">
        <v>120</v>
      </c>
      <c r="E3592" t="s">
        <v>116</v>
      </c>
      <c r="F3592" t="s">
        <v>117</v>
      </c>
      <c r="H3592" t="s">
        <v>936</v>
      </c>
      <c r="I3592" t="str">
        <f>"101050001988131"</f>
        <v>101050001988131</v>
      </c>
      <c r="J3592" t="str">
        <f>"514913"</f>
        <v>514913</v>
      </c>
      <c r="K3592" t="s">
        <v>93</v>
      </c>
      <c r="L3592">
        <v>91</v>
      </c>
      <c r="M3592">
        <v>91</v>
      </c>
      <c r="N3592">
        <v>0</v>
      </c>
      <c r="O3592" s="1">
        <v>45579.502488425926</v>
      </c>
      <c r="P3592" t="s">
        <v>138</v>
      </c>
    </row>
    <row r="3593" spans="1:16" x14ac:dyDescent="0.3">
      <c r="A3593" t="s">
        <v>25</v>
      </c>
      <c r="B3593" s="1">
        <v>45579.502488425926</v>
      </c>
      <c r="C3593" t="str">
        <f t="shared" si="650"/>
        <v>41</v>
      </c>
      <c r="D3593" t="s">
        <v>120</v>
      </c>
      <c r="E3593" t="s">
        <v>116</v>
      </c>
      <c r="F3593" t="s">
        <v>117</v>
      </c>
      <c r="H3593" t="s">
        <v>936</v>
      </c>
      <c r="I3593" t="str">
        <f>"101050001986436"</f>
        <v>101050001986436</v>
      </c>
      <c r="J3593" t="str">
        <f>"514913"</f>
        <v>514913</v>
      </c>
      <c r="K3593" t="s">
        <v>93</v>
      </c>
      <c r="L3593">
        <v>91</v>
      </c>
      <c r="M3593">
        <v>91</v>
      </c>
      <c r="N3593">
        <v>0</v>
      </c>
      <c r="O3593" s="1">
        <v>45579.502488425926</v>
      </c>
      <c r="P3593" t="s">
        <v>138</v>
      </c>
    </row>
    <row r="3594" spans="1:16" x14ac:dyDescent="0.3">
      <c r="A3594" t="s">
        <v>25</v>
      </c>
      <c r="B3594" s="1">
        <v>45579.502476851849</v>
      </c>
      <c r="C3594" t="str">
        <f t="shared" si="650"/>
        <v>41</v>
      </c>
      <c r="D3594" t="s">
        <v>120</v>
      </c>
      <c r="E3594" t="s">
        <v>116</v>
      </c>
      <c r="F3594" t="s">
        <v>117</v>
      </c>
      <c r="H3594" t="s">
        <v>936</v>
      </c>
      <c r="I3594" t="str">
        <f>"101050001986372"</f>
        <v>101050001986372</v>
      </c>
      <c r="J3594" t="str">
        <f>"514913"</f>
        <v>514913</v>
      </c>
      <c r="K3594" t="s">
        <v>93</v>
      </c>
      <c r="L3594">
        <v>91</v>
      </c>
      <c r="M3594">
        <v>91</v>
      </c>
      <c r="N3594">
        <v>0</v>
      </c>
      <c r="O3594" s="1">
        <v>45579.502476851849</v>
      </c>
      <c r="P3594" t="s">
        <v>138</v>
      </c>
    </row>
    <row r="3595" spans="1:16" x14ac:dyDescent="0.3">
      <c r="A3595" t="s">
        <v>25</v>
      </c>
      <c r="B3595" s="1">
        <v>45579.502476851849</v>
      </c>
      <c r="C3595" t="str">
        <f t="shared" si="650"/>
        <v>41</v>
      </c>
      <c r="D3595" t="s">
        <v>120</v>
      </c>
      <c r="E3595" t="s">
        <v>116</v>
      </c>
      <c r="F3595" t="s">
        <v>117</v>
      </c>
      <c r="H3595" t="s">
        <v>936</v>
      </c>
      <c r="I3595" t="str">
        <f>"101050001986371"</f>
        <v>101050001986371</v>
      </c>
      <c r="J3595" t="str">
        <f>"514913"</f>
        <v>514913</v>
      </c>
      <c r="K3595" t="s">
        <v>93</v>
      </c>
      <c r="L3595">
        <v>91</v>
      </c>
      <c r="M3595">
        <v>91</v>
      </c>
      <c r="N3595">
        <v>0</v>
      </c>
      <c r="O3595" s="1">
        <v>45579.502476851849</v>
      </c>
      <c r="P3595" t="s">
        <v>138</v>
      </c>
    </row>
    <row r="3596" spans="1:16" x14ac:dyDescent="0.3">
      <c r="A3596" t="s">
        <v>25</v>
      </c>
      <c r="B3596" s="1">
        <v>45579.499710648146</v>
      </c>
      <c r="C3596" t="str">
        <f t="shared" si="650"/>
        <v>41</v>
      </c>
      <c r="D3596" t="s">
        <v>120</v>
      </c>
      <c r="E3596" t="s">
        <v>116</v>
      </c>
      <c r="F3596" t="s">
        <v>117</v>
      </c>
      <c r="H3596" t="s">
        <v>937</v>
      </c>
      <c r="I3596" t="str">
        <f>"102520000597524"</f>
        <v>102520000597524</v>
      </c>
      <c r="J3596" t="str">
        <f>"514853"</f>
        <v>514853</v>
      </c>
      <c r="K3596" t="s">
        <v>89</v>
      </c>
      <c r="L3596">
        <v>110</v>
      </c>
      <c r="M3596">
        <v>110</v>
      </c>
      <c r="N3596">
        <v>0</v>
      </c>
      <c r="O3596" s="1">
        <v>45579.499710648146</v>
      </c>
      <c r="P3596" t="s">
        <v>138</v>
      </c>
    </row>
    <row r="3597" spans="1:16" x14ac:dyDescent="0.3">
      <c r="A3597" t="s">
        <v>25</v>
      </c>
      <c r="B3597" s="1">
        <v>45579.499710648146</v>
      </c>
      <c r="C3597" t="str">
        <f t="shared" si="650"/>
        <v>41</v>
      </c>
      <c r="D3597" t="s">
        <v>120</v>
      </c>
      <c r="E3597" t="s">
        <v>116</v>
      </c>
      <c r="F3597" t="s">
        <v>117</v>
      </c>
      <c r="H3597" t="s">
        <v>937</v>
      </c>
      <c r="I3597" t="str">
        <f>"102520000593375"</f>
        <v>102520000593375</v>
      </c>
      <c r="J3597" t="str">
        <f>"514853"</f>
        <v>514853</v>
      </c>
      <c r="K3597" t="s">
        <v>89</v>
      </c>
      <c r="L3597">
        <v>110</v>
      </c>
      <c r="M3597">
        <v>110</v>
      </c>
      <c r="N3597">
        <v>0</v>
      </c>
      <c r="O3597" s="1">
        <v>45579.499710648146</v>
      </c>
      <c r="P3597" t="s">
        <v>138</v>
      </c>
    </row>
    <row r="3598" spans="1:16" x14ac:dyDescent="0.3">
      <c r="A3598" t="s">
        <v>25</v>
      </c>
      <c r="B3598" s="1">
        <v>45579.499710648146</v>
      </c>
      <c r="C3598" t="str">
        <f t="shared" si="650"/>
        <v>41</v>
      </c>
      <c r="D3598" t="s">
        <v>120</v>
      </c>
      <c r="E3598" t="s">
        <v>116</v>
      </c>
      <c r="F3598" t="s">
        <v>117</v>
      </c>
      <c r="H3598" t="s">
        <v>937</v>
      </c>
      <c r="I3598" t="str">
        <f>"102520000593112"</f>
        <v>102520000593112</v>
      </c>
      <c r="J3598" t="str">
        <f>"514853"</f>
        <v>514853</v>
      </c>
      <c r="K3598" t="s">
        <v>89</v>
      </c>
      <c r="L3598">
        <v>110</v>
      </c>
      <c r="M3598">
        <v>110</v>
      </c>
      <c r="N3598">
        <v>0</v>
      </c>
      <c r="O3598" s="1">
        <v>45579.499710648146</v>
      </c>
      <c r="P3598" t="s">
        <v>138</v>
      </c>
    </row>
    <row r="3599" spans="1:16" x14ac:dyDescent="0.3">
      <c r="A3599" t="s">
        <v>25</v>
      </c>
      <c r="B3599" s="1">
        <v>45579.499710648146</v>
      </c>
      <c r="C3599" t="str">
        <f t="shared" si="650"/>
        <v>41</v>
      </c>
      <c r="D3599" t="s">
        <v>120</v>
      </c>
      <c r="E3599" t="s">
        <v>116</v>
      </c>
      <c r="F3599" t="s">
        <v>117</v>
      </c>
      <c r="H3599" t="s">
        <v>937</v>
      </c>
      <c r="I3599" t="str">
        <f>"102520000593042"</f>
        <v>102520000593042</v>
      </c>
      <c r="J3599" t="str">
        <f>"514853"</f>
        <v>514853</v>
      </c>
      <c r="K3599" t="s">
        <v>89</v>
      </c>
      <c r="L3599">
        <v>110</v>
      </c>
      <c r="M3599">
        <v>110</v>
      </c>
      <c r="N3599">
        <v>0</v>
      </c>
      <c r="O3599" s="1">
        <v>45579.499710648146</v>
      </c>
      <c r="P3599" t="s">
        <v>138</v>
      </c>
    </row>
    <row r="3600" spans="1:16" x14ac:dyDescent="0.3">
      <c r="A3600" t="s">
        <v>25</v>
      </c>
      <c r="B3600" s="1">
        <v>45579.498819444445</v>
      </c>
      <c r="C3600" t="str">
        <f t="shared" si="650"/>
        <v>41</v>
      </c>
      <c r="D3600" t="s">
        <v>120</v>
      </c>
      <c r="E3600" t="s">
        <v>116</v>
      </c>
      <c r="F3600" t="s">
        <v>117</v>
      </c>
      <c r="H3600" t="s">
        <v>938</v>
      </c>
      <c r="I3600" t="str">
        <f>"102520000596788"</f>
        <v>102520000596788</v>
      </c>
      <c r="J3600" t="str">
        <f t="shared" ref="J3600:J3606" si="651">"514854"</f>
        <v>514854</v>
      </c>
      <c r="K3600" t="s">
        <v>90</v>
      </c>
      <c r="L3600">
        <v>110</v>
      </c>
      <c r="M3600">
        <v>110</v>
      </c>
      <c r="N3600">
        <v>0</v>
      </c>
      <c r="O3600" s="1">
        <v>45579.498819444445</v>
      </c>
      <c r="P3600" t="s">
        <v>138</v>
      </c>
    </row>
    <row r="3601" spans="1:16" x14ac:dyDescent="0.3">
      <c r="A3601" t="s">
        <v>25</v>
      </c>
      <c r="B3601" s="1">
        <v>45579.498819444445</v>
      </c>
      <c r="C3601" t="str">
        <f t="shared" si="650"/>
        <v>41</v>
      </c>
      <c r="D3601" t="s">
        <v>120</v>
      </c>
      <c r="E3601" t="s">
        <v>116</v>
      </c>
      <c r="F3601" t="s">
        <v>117</v>
      </c>
      <c r="H3601" t="s">
        <v>938</v>
      </c>
      <c r="I3601" t="str">
        <f>"102520000595902"</f>
        <v>102520000595902</v>
      </c>
      <c r="J3601" t="str">
        <f t="shared" si="651"/>
        <v>514854</v>
      </c>
      <c r="K3601" t="s">
        <v>90</v>
      </c>
      <c r="L3601">
        <v>110</v>
      </c>
      <c r="M3601">
        <v>110</v>
      </c>
      <c r="N3601">
        <v>0</v>
      </c>
      <c r="O3601" s="1">
        <v>45579.498819444445</v>
      </c>
      <c r="P3601" t="s">
        <v>138</v>
      </c>
    </row>
    <row r="3602" spans="1:16" x14ac:dyDescent="0.3">
      <c r="A3602" t="s">
        <v>25</v>
      </c>
      <c r="B3602" s="1">
        <v>45579.498819444445</v>
      </c>
      <c r="C3602" t="str">
        <f t="shared" si="650"/>
        <v>41</v>
      </c>
      <c r="D3602" t="s">
        <v>120</v>
      </c>
      <c r="E3602" t="s">
        <v>116</v>
      </c>
      <c r="F3602" t="s">
        <v>117</v>
      </c>
      <c r="H3602" t="s">
        <v>938</v>
      </c>
      <c r="I3602" t="str">
        <f>"102520000591599"</f>
        <v>102520000591599</v>
      </c>
      <c r="J3602" t="str">
        <f t="shared" si="651"/>
        <v>514854</v>
      </c>
      <c r="K3602" t="s">
        <v>90</v>
      </c>
      <c r="L3602">
        <v>110</v>
      </c>
      <c r="M3602">
        <v>110</v>
      </c>
      <c r="N3602">
        <v>0</v>
      </c>
      <c r="O3602" s="1">
        <v>45579.498819444445</v>
      </c>
      <c r="P3602" t="s">
        <v>138</v>
      </c>
    </row>
    <row r="3603" spans="1:16" x14ac:dyDescent="0.3">
      <c r="A3603" t="s">
        <v>25</v>
      </c>
      <c r="B3603" s="1">
        <v>45579.498819444445</v>
      </c>
      <c r="C3603" t="str">
        <f t="shared" si="650"/>
        <v>41</v>
      </c>
      <c r="D3603" t="s">
        <v>120</v>
      </c>
      <c r="E3603" t="s">
        <v>116</v>
      </c>
      <c r="F3603" t="s">
        <v>117</v>
      </c>
      <c r="H3603" t="s">
        <v>938</v>
      </c>
      <c r="I3603" t="str">
        <f>"102520000591317"</f>
        <v>102520000591317</v>
      </c>
      <c r="J3603" t="str">
        <f t="shared" si="651"/>
        <v>514854</v>
      </c>
      <c r="K3603" t="s">
        <v>90</v>
      </c>
      <c r="L3603">
        <v>110</v>
      </c>
      <c r="M3603">
        <v>110</v>
      </c>
      <c r="N3603">
        <v>0</v>
      </c>
      <c r="O3603" s="1">
        <v>45579.498819444445</v>
      </c>
      <c r="P3603" t="s">
        <v>138</v>
      </c>
    </row>
    <row r="3604" spans="1:16" x14ac:dyDescent="0.3">
      <c r="A3604" t="s">
        <v>25</v>
      </c>
      <c r="B3604" s="1">
        <v>45579.498819444445</v>
      </c>
      <c r="C3604" t="str">
        <f t="shared" si="650"/>
        <v>41</v>
      </c>
      <c r="D3604" t="s">
        <v>120</v>
      </c>
      <c r="E3604" t="s">
        <v>116</v>
      </c>
      <c r="F3604" t="s">
        <v>117</v>
      </c>
      <c r="H3604" t="s">
        <v>938</v>
      </c>
      <c r="I3604" t="str">
        <f>"102520000595943"</f>
        <v>102520000595943</v>
      </c>
      <c r="J3604" t="str">
        <f t="shared" si="651"/>
        <v>514854</v>
      </c>
      <c r="K3604" t="s">
        <v>90</v>
      </c>
      <c r="L3604">
        <v>110</v>
      </c>
      <c r="M3604">
        <v>110</v>
      </c>
      <c r="N3604">
        <v>0</v>
      </c>
      <c r="O3604" s="1">
        <v>45579.498819444445</v>
      </c>
      <c r="P3604" t="s">
        <v>138</v>
      </c>
    </row>
    <row r="3605" spans="1:16" x14ac:dyDescent="0.3">
      <c r="A3605" t="s">
        <v>25</v>
      </c>
      <c r="B3605" s="1">
        <v>45579.498807870368</v>
      </c>
      <c r="C3605" t="str">
        <f t="shared" si="650"/>
        <v>41</v>
      </c>
      <c r="D3605" t="s">
        <v>120</v>
      </c>
      <c r="E3605" t="s">
        <v>116</v>
      </c>
      <c r="F3605" t="s">
        <v>117</v>
      </c>
      <c r="H3605" t="s">
        <v>938</v>
      </c>
      <c r="I3605" t="str">
        <f>"102520000591828"</f>
        <v>102520000591828</v>
      </c>
      <c r="J3605" t="str">
        <f t="shared" si="651"/>
        <v>514854</v>
      </c>
      <c r="K3605" t="s">
        <v>90</v>
      </c>
      <c r="L3605">
        <v>110</v>
      </c>
      <c r="M3605">
        <v>110</v>
      </c>
      <c r="N3605">
        <v>0</v>
      </c>
      <c r="O3605" s="1">
        <v>45579.498807870368</v>
      </c>
      <c r="P3605" t="s">
        <v>138</v>
      </c>
    </row>
    <row r="3606" spans="1:16" x14ac:dyDescent="0.3">
      <c r="A3606" t="s">
        <v>25</v>
      </c>
      <c r="B3606" s="1">
        <v>45579.498807870368</v>
      </c>
      <c r="C3606" t="str">
        <f t="shared" si="650"/>
        <v>41</v>
      </c>
      <c r="D3606" t="s">
        <v>120</v>
      </c>
      <c r="E3606" t="s">
        <v>116</v>
      </c>
      <c r="F3606" t="s">
        <v>117</v>
      </c>
      <c r="H3606" t="s">
        <v>938</v>
      </c>
      <c r="I3606" t="str">
        <f>"102520000596915"</f>
        <v>102520000596915</v>
      </c>
      <c r="J3606" t="str">
        <f t="shared" si="651"/>
        <v>514854</v>
      </c>
      <c r="K3606" t="s">
        <v>90</v>
      </c>
      <c r="L3606">
        <v>110</v>
      </c>
      <c r="M3606">
        <v>110</v>
      </c>
      <c r="N3606">
        <v>0</v>
      </c>
      <c r="O3606" s="1">
        <v>45579.498807870368</v>
      </c>
      <c r="P3606" t="s">
        <v>138</v>
      </c>
    </row>
  </sheetData>
  <sheetProtection algorithmName="SHA-512" hashValue="j5dO2fI2+FdrKyaJN2DpztXr4VwEUVIkJ98qLm08Cdpy3Hh8LQGcuOoM7vtS20DYC4aCYa6I/SwejNziDpDAWA==" saltValue="dom2HYMo29LDCVR31G41fA==" spinCount="100000" sheet="1" objects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A2F488E3D7844A96BEFFB084330856" ma:contentTypeVersion="8" ma:contentTypeDescription="Create a new document." ma:contentTypeScope="" ma:versionID="110e3faf616aa177bc189b18d28a0548">
  <xsd:schema xmlns:xsd="http://www.w3.org/2001/XMLSchema" xmlns:xs="http://www.w3.org/2001/XMLSchema" xmlns:p="http://schemas.microsoft.com/office/2006/metadata/properties" xmlns:ns2="537dc6b7-6609-43dd-b4ae-c80e2645c642" targetNamespace="http://schemas.microsoft.com/office/2006/metadata/properties" ma:root="true" ma:fieldsID="55a2a251941a4661d651d1079c0fe70d" ns2:_="">
    <xsd:import namespace="537dc6b7-6609-43dd-b4ae-c80e2645c6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dc6b7-6609-43dd-b4ae-c80e2645c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59B6DD-C8AE-41C2-BF90-561B438CB9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F2C646-FA5F-42E8-AEFB-2077664856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827686-25D4-4C15-BA92-F553FE3C5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dc6b7-6609-43dd-b4ae-c80e2645c6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b12f818-7d26-4eab-9c63-bdc5e02b0fb1}" enabled="1" method="Privileged" siteId="{973ba820-4a58-4246-84bf-170e50b3152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Conteo ciclico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.NET v4.5</dc:creator>
  <cp:keywords/>
  <dc:description/>
  <cp:lastModifiedBy>Alexander Meister</cp:lastModifiedBy>
  <cp:revision/>
  <dcterms:created xsi:type="dcterms:W3CDTF">2024-10-18T21:40:14Z</dcterms:created>
  <dcterms:modified xsi:type="dcterms:W3CDTF">2024-11-04T00:25:47Z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0x010100F4A2F488E3D7844A96BEFFB084330856</vt:lpwstr>
  </property>
</Properties>
</file>