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6.38"/>
    <col customWidth="1" min="3" max="3" width="11.63"/>
    <col customWidth="1" min="4" max="4" width="9.38"/>
    <col customWidth="1" min="5" max="5" width="6.75"/>
  </cols>
  <sheetData>
    <row r="1">
      <c r="A1" s="1" t="str">
        <f>IFERROR(__xludf.DUMMYFUNCTION("IMPORTHTML(""https://www.worldometers.info/geography/alphabetical-list-of-countries/"",""table"",1,)"),"#")</f>
        <v>#</v>
      </c>
      <c r="B1" s="1" t="str">
        <f>IFERROR(__xludf.DUMMYFUNCTION("""COMPUTED_VALUE"""),"Country")</f>
        <v>Country</v>
      </c>
      <c r="C1" s="1" t="str">
        <f>IFERROR(__xludf.DUMMYFUNCTION("""COMPUTED_VALUE"""),"Population
(2023)")</f>
        <v>Population
(2023)</v>
      </c>
      <c r="D1" s="1" t="str">
        <f>IFERROR(__xludf.DUMMYFUNCTION("""COMPUTED_VALUE"""),"Land Area
(Km²)")</f>
        <v>Land Area
(Km²)</v>
      </c>
      <c r="E1" s="1" t="str">
        <f>IFERROR(__xludf.DUMMYFUNCTION("""COMPUTED_VALUE"""),"Density
(P/Km²)")</f>
        <v>Density
(P/Km²)</v>
      </c>
    </row>
    <row r="2">
      <c r="A2" s="1">
        <f>IFERROR(__xludf.DUMMYFUNCTION("""COMPUTED_VALUE"""),1.0)</f>
        <v>1</v>
      </c>
      <c r="B2" s="1" t="str">
        <f>IFERROR(__xludf.DUMMYFUNCTION("""COMPUTED_VALUE"""),"Afghanistan")</f>
        <v>Afghanistan</v>
      </c>
      <c r="C2" s="2">
        <f>IFERROR(__xludf.DUMMYFUNCTION("""COMPUTED_VALUE"""),4.2239854E7)</f>
        <v>42239854</v>
      </c>
      <c r="D2" s="2">
        <f>IFERROR(__xludf.DUMMYFUNCTION("""COMPUTED_VALUE"""),652860.0)</f>
        <v>652860</v>
      </c>
      <c r="E2" s="1">
        <f>IFERROR(__xludf.DUMMYFUNCTION("""COMPUTED_VALUE"""),65.0)</f>
        <v>65</v>
      </c>
    </row>
    <row r="3">
      <c r="A3" s="1">
        <f>IFERROR(__xludf.DUMMYFUNCTION("""COMPUTED_VALUE"""),2.0)</f>
        <v>2</v>
      </c>
      <c r="B3" s="1" t="str">
        <f>IFERROR(__xludf.DUMMYFUNCTION("""COMPUTED_VALUE"""),"Albania")</f>
        <v>Albania</v>
      </c>
      <c r="C3" s="2">
        <f>IFERROR(__xludf.DUMMYFUNCTION("""COMPUTED_VALUE"""),2832439.0)</f>
        <v>2832439</v>
      </c>
      <c r="D3" s="2">
        <f>IFERROR(__xludf.DUMMYFUNCTION("""COMPUTED_VALUE"""),27400.0)</f>
        <v>27400</v>
      </c>
      <c r="E3" s="1">
        <f>IFERROR(__xludf.DUMMYFUNCTION("""COMPUTED_VALUE"""),103.0)</f>
        <v>103</v>
      </c>
    </row>
    <row r="4">
      <c r="A4" s="1">
        <f>IFERROR(__xludf.DUMMYFUNCTION("""COMPUTED_VALUE"""),3.0)</f>
        <v>3</v>
      </c>
      <c r="B4" s="1" t="str">
        <f>IFERROR(__xludf.DUMMYFUNCTION("""COMPUTED_VALUE"""),"Algeria")</f>
        <v>Algeria</v>
      </c>
      <c r="C4" s="2">
        <f>IFERROR(__xludf.DUMMYFUNCTION("""COMPUTED_VALUE"""),4.560648E7)</f>
        <v>45606480</v>
      </c>
      <c r="D4" s="2">
        <f>IFERROR(__xludf.DUMMYFUNCTION("""COMPUTED_VALUE"""),2381740.0)</f>
        <v>2381740</v>
      </c>
      <c r="E4" s="1">
        <f>IFERROR(__xludf.DUMMYFUNCTION("""COMPUTED_VALUE"""),19.0)</f>
        <v>19</v>
      </c>
    </row>
    <row r="5">
      <c r="A5" s="1">
        <f>IFERROR(__xludf.DUMMYFUNCTION("""COMPUTED_VALUE"""),4.0)</f>
        <v>4</v>
      </c>
      <c r="B5" s="1" t="str">
        <f>IFERROR(__xludf.DUMMYFUNCTION("""COMPUTED_VALUE"""),"Andorra")</f>
        <v>Andorra</v>
      </c>
      <c r="C5" s="2">
        <f>IFERROR(__xludf.DUMMYFUNCTION("""COMPUTED_VALUE"""),80088.0)</f>
        <v>80088</v>
      </c>
      <c r="D5" s="1">
        <f>IFERROR(__xludf.DUMMYFUNCTION("""COMPUTED_VALUE"""),470.0)</f>
        <v>470</v>
      </c>
      <c r="E5" s="1">
        <f>IFERROR(__xludf.DUMMYFUNCTION("""COMPUTED_VALUE"""),170.0)</f>
        <v>170</v>
      </c>
    </row>
    <row r="6">
      <c r="A6" s="1">
        <f>IFERROR(__xludf.DUMMYFUNCTION("""COMPUTED_VALUE"""),5.0)</f>
        <v>5</v>
      </c>
      <c r="B6" s="1" t="str">
        <f>IFERROR(__xludf.DUMMYFUNCTION("""COMPUTED_VALUE"""),"Angola")</f>
        <v>Angola</v>
      </c>
      <c r="C6" s="2">
        <f>IFERROR(__xludf.DUMMYFUNCTION("""COMPUTED_VALUE"""),3.6684202E7)</f>
        <v>36684202</v>
      </c>
      <c r="D6" s="2">
        <f>IFERROR(__xludf.DUMMYFUNCTION("""COMPUTED_VALUE"""),1246700.0)</f>
        <v>1246700</v>
      </c>
      <c r="E6" s="1">
        <f>IFERROR(__xludf.DUMMYFUNCTION("""COMPUTED_VALUE"""),29.0)</f>
        <v>29</v>
      </c>
    </row>
    <row r="7">
      <c r="A7" s="1">
        <f>IFERROR(__xludf.DUMMYFUNCTION("""COMPUTED_VALUE"""),6.0)</f>
        <v>6</v>
      </c>
      <c r="B7" s="1" t="str">
        <f>IFERROR(__xludf.DUMMYFUNCTION("""COMPUTED_VALUE"""),"Antigua and Barbuda")</f>
        <v>Antigua and Barbuda</v>
      </c>
      <c r="C7" s="2">
        <f>IFERROR(__xludf.DUMMYFUNCTION("""COMPUTED_VALUE"""),94298.0)</f>
        <v>94298</v>
      </c>
      <c r="D7" s="1">
        <f>IFERROR(__xludf.DUMMYFUNCTION("""COMPUTED_VALUE"""),440.0)</f>
        <v>440</v>
      </c>
      <c r="E7" s="1">
        <f>IFERROR(__xludf.DUMMYFUNCTION("""COMPUTED_VALUE"""),214.0)</f>
        <v>214</v>
      </c>
    </row>
    <row r="8">
      <c r="A8" s="1">
        <f>IFERROR(__xludf.DUMMYFUNCTION("""COMPUTED_VALUE"""),7.0)</f>
        <v>7</v>
      </c>
      <c r="B8" s="3" t="str">
        <f>IFERROR(__xludf.DUMMYFUNCTION("""COMPUTED_VALUE"""),"Argentina")</f>
        <v>Argentina</v>
      </c>
      <c r="C8" s="2">
        <f>IFERROR(__xludf.DUMMYFUNCTION("""COMPUTED_VALUE"""),4.5773884E7)</f>
        <v>45773884</v>
      </c>
      <c r="D8" s="2">
        <f>IFERROR(__xludf.DUMMYFUNCTION("""COMPUTED_VALUE"""),2736690.0)</f>
        <v>2736690</v>
      </c>
      <c r="E8" s="1">
        <f>IFERROR(__xludf.DUMMYFUNCTION("""COMPUTED_VALUE"""),17.0)</f>
        <v>17</v>
      </c>
    </row>
    <row r="9">
      <c r="A9" s="4">
        <f>IFERROR(__xludf.DUMMYFUNCTION("""COMPUTED_VALUE"""),8.0)</f>
        <v>8</v>
      </c>
      <c r="B9" s="1" t="str">
        <f>IFERROR(__xludf.DUMMYFUNCTION("""COMPUTED_VALUE"""),"Armenia")</f>
        <v>Armenia</v>
      </c>
      <c r="C9" s="2">
        <f>IFERROR(__xludf.DUMMYFUNCTION("""COMPUTED_VALUE"""),2777970.0)</f>
        <v>2777970</v>
      </c>
      <c r="D9" s="2">
        <f>IFERROR(__xludf.DUMMYFUNCTION("""COMPUTED_VALUE"""),28470.0)</f>
        <v>28470</v>
      </c>
      <c r="E9" s="1">
        <f>IFERROR(__xludf.DUMMYFUNCTION("""COMPUTED_VALUE"""),98.0)</f>
        <v>98</v>
      </c>
    </row>
    <row r="10">
      <c r="A10" s="1">
        <f>IFERROR(__xludf.DUMMYFUNCTION("""COMPUTED_VALUE"""),9.0)</f>
        <v>9</v>
      </c>
      <c r="B10" s="1" t="str">
        <f>IFERROR(__xludf.DUMMYFUNCTION("""COMPUTED_VALUE"""),"Australia")</f>
        <v>Australia</v>
      </c>
      <c r="C10" s="2">
        <f>IFERROR(__xludf.DUMMYFUNCTION("""COMPUTED_VALUE"""),2.6439111E7)</f>
        <v>26439111</v>
      </c>
      <c r="D10" s="2">
        <f>IFERROR(__xludf.DUMMYFUNCTION("""COMPUTED_VALUE"""),7682300.0)</f>
        <v>7682300</v>
      </c>
      <c r="E10" s="1">
        <f>IFERROR(__xludf.DUMMYFUNCTION("""COMPUTED_VALUE"""),3.0)</f>
        <v>3</v>
      </c>
    </row>
    <row r="11">
      <c r="A11" s="1">
        <f>IFERROR(__xludf.DUMMYFUNCTION("""COMPUTED_VALUE"""),10.0)</f>
        <v>10</v>
      </c>
      <c r="B11" s="1" t="str">
        <f>IFERROR(__xludf.DUMMYFUNCTION("""COMPUTED_VALUE"""),"Austria")</f>
        <v>Austria</v>
      </c>
      <c r="C11" s="2">
        <f>IFERROR(__xludf.DUMMYFUNCTION("""COMPUTED_VALUE"""),8958960.0)</f>
        <v>8958960</v>
      </c>
      <c r="D11" s="2">
        <f>IFERROR(__xludf.DUMMYFUNCTION("""COMPUTED_VALUE"""),82409.0)</f>
        <v>82409</v>
      </c>
      <c r="E11" s="1">
        <f>IFERROR(__xludf.DUMMYFUNCTION("""COMPUTED_VALUE"""),109.0)</f>
        <v>109</v>
      </c>
    </row>
    <row r="12">
      <c r="A12" s="1">
        <f>IFERROR(__xludf.DUMMYFUNCTION("""COMPUTED_VALUE"""),11.0)</f>
        <v>11</v>
      </c>
      <c r="B12" s="1" t="str">
        <f>IFERROR(__xludf.DUMMYFUNCTION("""COMPUTED_VALUE"""),"Azerbaijan")</f>
        <v>Azerbaijan</v>
      </c>
      <c r="C12" s="2">
        <f>IFERROR(__xludf.DUMMYFUNCTION("""COMPUTED_VALUE"""),1.0412651E7)</f>
        <v>10412651</v>
      </c>
      <c r="D12" s="2">
        <f>IFERROR(__xludf.DUMMYFUNCTION("""COMPUTED_VALUE"""),82658.0)</f>
        <v>82658</v>
      </c>
      <c r="E12" s="1">
        <f>IFERROR(__xludf.DUMMYFUNCTION("""COMPUTED_VALUE"""),126.0)</f>
        <v>126</v>
      </c>
    </row>
    <row r="13">
      <c r="A13" s="1">
        <f>IFERROR(__xludf.DUMMYFUNCTION("""COMPUTED_VALUE"""),12.0)</f>
        <v>12</v>
      </c>
      <c r="B13" s="1" t="str">
        <f>IFERROR(__xludf.DUMMYFUNCTION("""COMPUTED_VALUE"""),"Bahamas")</f>
        <v>Bahamas</v>
      </c>
      <c r="C13" s="2">
        <f>IFERROR(__xludf.DUMMYFUNCTION("""COMPUTED_VALUE"""),412623.0)</f>
        <v>412623</v>
      </c>
      <c r="D13" s="2">
        <f>IFERROR(__xludf.DUMMYFUNCTION("""COMPUTED_VALUE"""),10010.0)</f>
        <v>10010</v>
      </c>
      <c r="E13" s="1">
        <f>IFERROR(__xludf.DUMMYFUNCTION("""COMPUTED_VALUE"""),41.0)</f>
        <v>41</v>
      </c>
    </row>
    <row r="14">
      <c r="A14" s="1">
        <f>IFERROR(__xludf.DUMMYFUNCTION("""COMPUTED_VALUE"""),13.0)</f>
        <v>13</v>
      </c>
      <c r="B14" s="1" t="str">
        <f>IFERROR(__xludf.DUMMYFUNCTION("""COMPUTED_VALUE"""),"Bahrain")</f>
        <v>Bahrain</v>
      </c>
      <c r="C14" s="2">
        <f>IFERROR(__xludf.DUMMYFUNCTION("""COMPUTED_VALUE"""),1485509.0)</f>
        <v>1485509</v>
      </c>
      <c r="D14" s="1">
        <f>IFERROR(__xludf.DUMMYFUNCTION("""COMPUTED_VALUE"""),760.0)</f>
        <v>760</v>
      </c>
      <c r="E14" s="2">
        <f>IFERROR(__xludf.DUMMYFUNCTION("""COMPUTED_VALUE"""),1955.0)</f>
        <v>1955</v>
      </c>
    </row>
    <row r="15">
      <c r="A15" s="1">
        <f>IFERROR(__xludf.DUMMYFUNCTION("""COMPUTED_VALUE"""),14.0)</f>
        <v>14</v>
      </c>
      <c r="B15" s="1" t="str">
        <f>IFERROR(__xludf.DUMMYFUNCTION("""COMPUTED_VALUE"""),"Bangladesh")</f>
        <v>Bangladesh</v>
      </c>
      <c r="C15" s="2">
        <f>IFERROR(__xludf.DUMMYFUNCTION("""COMPUTED_VALUE"""),1.72954319E8)</f>
        <v>172954319</v>
      </c>
      <c r="D15" s="2">
        <f>IFERROR(__xludf.DUMMYFUNCTION("""COMPUTED_VALUE"""),130170.0)</f>
        <v>130170</v>
      </c>
      <c r="E15" s="2">
        <f>IFERROR(__xludf.DUMMYFUNCTION("""COMPUTED_VALUE"""),1329.0)</f>
        <v>1329</v>
      </c>
    </row>
    <row r="16">
      <c r="A16" s="1">
        <f>IFERROR(__xludf.DUMMYFUNCTION("""COMPUTED_VALUE"""),15.0)</f>
        <v>15</v>
      </c>
      <c r="B16" s="1" t="str">
        <f>IFERROR(__xludf.DUMMYFUNCTION("""COMPUTED_VALUE"""),"Barbados")</f>
        <v>Barbados</v>
      </c>
      <c r="C16" s="2">
        <f>IFERROR(__xludf.DUMMYFUNCTION("""COMPUTED_VALUE"""),281995.0)</f>
        <v>281995</v>
      </c>
      <c r="D16" s="1">
        <f>IFERROR(__xludf.DUMMYFUNCTION("""COMPUTED_VALUE"""),430.0)</f>
        <v>430</v>
      </c>
      <c r="E16" s="1">
        <f>IFERROR(__xludf.DUMMYFUNCTION("""COMPUTED_VALUE"""),656.0)</f>
        <v>656</v>
      </c>
    </row>
    <row r="17">
      <c r="A17" s="1">
        <f>IFERROR(__xludf.DUMMYFUNCTION("""COMPUTED_VALUE"""),16.0)</f>
        <v>16</v>
      </c>
      <c r="B17" s="1" t="str">
        <f>IFERROR(__xludf.DUMMYFUNCTION("""COMPUTED_VALUE"""),"Belarus")</f>
        <v>Belarus</v>
      </c>
      <c r="C17" s="2">
        <f>IFERROR(__xludf.DUMMYFUNCTION("""COMPUTED_VALUE"""),9498238.0)</f>
        <v>9498238</v>
      </c>
      <c r="D17" s="2">
        <f>IFERROR(__xludf.DUMMYFUNCTION("""COMPUTED_VALUE"""),202910.0)</f>
        <v>202910</v>
      </c>
      <c r="E17" s="1">
        <f>IFERROR(__xludf.DUMMYFUNCTION("""COMPUTED_VALUE"""),47.0)</f>
        <v>47</v>
      </c>
    </row>
    <row r="18">
      <c r="A18" s="1">
        <f>IFERROR(__xludf.DUMMYFUNCTION("""COMPUTED_VALUE"""),17.0)</f>
        <v>17</v>
      </c>
      <c r="B18" s="1" t="str">
        <f>IFERROR(__xludf.DUMMYFUNCTION("""COMPUTED_VALUE"""),"Belgium")</f>
        <v>Belgium</v>
      </c>
      <c r="C18" s="2">
        <f>IFERROR(__xludf.DUMMYFUNCTION("""COMPUTED_VALUE"""),1.168614E7)</f>
        <v>11686140</v>
      </c>
      <c r="D18" s="2">
        <f>IFERROR(__xludf.DUMMYFUNCTION("""COMPUTED_VALUE"""),30280.0)</f>
        <v>30280</v>
      </c>
      <c r="E18" s="1">
        <f>IFERROR(__xludf.DUMMYFUNCTION("""COMPUTED_VALUE"""),386.0)</f>
        <v>386</v>
      </c>
    </row>
    <row r="19">
      <c r="A19" s="1">
        <f>IFERROR(__xludf.DUMMYFUNCTION("""COMPUTED_VALUE"""),18.0)</f>
        <v>18</v>
      </c>
      <c r="B19" s="1" t="str">
        <f>IFERROR(__xludf.DUMMYFUNCTION("""COMPUTED_VALUE"""),"Belize")</f>
        <v>Belize</v>
      </c>
      <c r="C19" s="2">
        <f>IFERROR(__xludf.DUMMYFUNCTION("""COMPUTED_VALUE"""),410825.0)</f>
        <v>410825</v>
      </c>
      <c r="D19" s="2">
        <f>IFERROR(__xludf.DUMMYFUNCTION("""COMPUTED_VALUE"""),22810.0)</f>
        <v>22810</v>
      </c>
      <c r="E19" s="1">
        <f>IFERROR(__xludf.DUMMYFUNCTION("""COMPUTED_VALUE"""),18.0)</f>
        <v>18</v>
      </c>
    </row>
    <row r="20">
      <c r="A20" s="1">
        <f>IFERROR(__xludf.DUMMYFUNCTION("""COMPUTED_VALUE"""),19.0)</f>
        <v>19</v>
      </c>
      <c r="B20" s="1" t="str">
        <f>IFERROR(__xludf.DUMMYFUNCTION("""COMPUTED_VALUE"""),"Benin")</f>
        <v>Benin</v>
      </c>
      <c r="C20" s="2">
        <f>IFERROR(__xludf.DUMMYFUNCTION("""COMPUTED_VALUE"""),1.3712828E7)</f>
        <v>13712828</v>
      </c>
      <c r="D20" s="2">
        <f>IFERROR(__xludf.DUMMYFUNCTION("""COMPUTED_VALUE"""),112760.0)</f>
        <v>112760</v>
      </c>
      <c r="E20" s="1">
        <f>IFERROR(__xludf.DUMMYFUNCTION("""COMPUTED_VALUE"""),122.0)</f>
        <v>122</v>
      </c>
    </row>
    <row r="21">
      <c r="A21" s="1">
        <f>IFERROR(__xludf.DUMMYFUNCTION("""COMPUTED_VALUE"""),20.0)</f>
        <v>20</v>
      </c>
      <c r="B21" s="1" t="str">
        <f>IFERROR(__xludf.DUMMYFUNCTION("""COMPUTED_VALUE"""),"Bhutan")</f>
        <v>Bhutan</v>
      </c>
      <c r="C21" s="2">
        <f>IFERROR(__xludf.DUMMYFUNCTION("""COMPUTED_VALUE"""),787424.0)</f>
        <v>787424</v>
      </c>
      <c r="D21" s="2">
        <f>IFERROR(__xludf.DUMMYFUNCTION("""COMPUTED_VALUE"""),38117.0)</f>
        <v>38117</v>
      </c>
      <c r="E21" s="1">
        <f>IFERROR(__xludf.DUMMYFUNCTION("""COMPUTED_VALUE"""),21.0)</f>
        <v>21</v>
      </c>
    </row>
    <row r="22">
      <c r="A22" s="1">
        <f>IFERROR(__xludf.DUMMYFUNCTION("""COMPUTED_VALUE"""),21.0)</f>
        <v>21</v>
      </c>
      <c r="B22" s="1" t="str">
        <f>IFERROR(__xludf.DUMMYFUNCTION("""COMPUTED_VALUE"""),"Bolivia")</f>
        <v>Bolivia</v>
      </c>
      <c r="C22" s="2">
        <f>IFERROR(__xludf.DUMMYFUNCTION("""COMPUTED_VALUE"""),1.2388571E7)</f>
        <v>12388571</v>
      </c>
      <c r="D22" s="2">
        <f>IFERROR(__xludf.DUMMYFUNCTION("""COMPUTED_VALUE"""),1083300.0)</f>
        <v>1083300</v>
      </c>
      <c r="E22" s="1">
        <f>IFERROR(__xludf.DUMMYFUNCTION("""COMPUTED_VALUE"""),11.0)</f>
        <v>11</v>
      </c>
    </row>
    <row r="23">
      <c r="A23" s="1">
        <f>IFERROR(__xludf.DUMMYFUNCTION("""COMPUTED_VALUE"""),22.0)</f>
        <v>22</v>
      </c>
      <c r="B23" s="1" t="str">
        <f>IFERROR(__xludf.DUMMYFUNCTION("""COMPUTED_VALUE"""),"Bosnia and Herzegovina")</f>
        <v>Bosnia and Herzegovina</v>
      </c>
      <c r="C23" s="2">
        <f>IFERROR(__xludf.DUMMYFUNCTION("""COMPUTED_VALUE"""),3210847.0)</f>
        <v>3210847</v>
      </c>
      <c r="D23" s="2">
        <f>IFERROR(__xludf.DUMMYFUNCTION("""COMPUTED_VALUE"""),51000.0)</f>
        <v>51000</v>
      </c>
      <c r="E23" s="1">
        <f>IFERROR(__xludf.DUMMYFUNCTION("""COMPUTED_VALUE"""),63.0)</f>
        <v>63</v>
      </c>
    </row>
    <row r="24">
      <c r="A24" s="1">
        <f>IFERROR(__xludf.DUMMYFUNCTION("""COMPUTED_VALUE"""),23.0)</f>
        <v>23</v>
      </c>
      <c r="B24" s="1" t="str">
        <f>IFERROR(__xludf.DUMMYFUNCTION("""COMPUTED_VALUE"""),"Botswana")</f>
        <v>Botswana</v>
      </c>
      <c r="C24" s="2">
        <f>IFERROR(__xludf.DUMMYFUNCTION("""COMPUTED_VALUE"""),2675352.0)</f>
        <v>2675352</v>
      </c>
      <c r="D24" s="2">
        <f>IFERROR(__xludf.DUMMYFUNCTION("""COMPUTED_VALUE"""),566730.0)</f>
        <v>566730</v>
      </c>
      <c r="E24" s="1">
        <f>IFERROR(__xludf.DUMMYFUNCTION("""COMPUTED_VALUE"""),5.0)</f>
        <v>5</v>
      </c>
    </row>
    <row r="25">
      <c r="A25" s="1">
        <f>IFERROR(__xludf.DUMMYFUNCTION("""COMPUTED_VALUE"""),24.0)</f>
        <v>24</v>
      </c>
      <c r="B25" s="1" t="str">
        <f>IFERROR(__xludf.DUMMYFUNCTION("""COMPUTED_VALUE"""),"Brazil")</f>
        <v>Brazil</v>
      </c>
      <c r="C25" s="2">
        <f>IFERROR(__xludf.DUMMYFUNCTION("""COMPUTED_VALUE"""),2.16422446E8)</f>
        <v>216422446</v>
      </c>
      <c r="D25" s="2">
        <f>IFERROR(__xludf.DUMMYFUNCTION("""COMPUTED_VALUE"""),8358140.0)</f>
        <v>8358140</v>
      </c>
      <c r="E25" s="1">
        <f>IFERROR(__xludf.DUMMYFUNCTION("""COMPUTED_VALUE"""),26.0)</f>
        <v>26</v>
      </c>
    </row>
    <row r="26">
      <c r="A26" s="1">
        <f>IFERROR(__xludf.DUMMYFUNCTION("""COMPUTED_VALUE"""),25.0)</f>
        <v>25</v>
      </c>
      <c r="B26" s="1" t="str">
        <f>IFERROR(__xludf.DUMMYFUNCTION("""COMPUTED_VALUE"""),"Brunei")</f>
        <v>Brunei</v>
      </c>
      <c r="C26" s="2">
        <f>IFERROR(__xludf.DUMMYFUNCTION("""COMPUTED_VALUE"""),452524.0)</f>
        <v>452524</v>
      </c>
      <c r="D26" s="2">
        <f>IFERROR(__xludf.DUMMYFUNCTION("""COMPUTED_VALUE"""),5270.0)</f>
        <v>5270</v>
      </c>
      <c r="E26" s="1">
        <f>IFERROR(__xludf.DUMMYFUNCTION("""COMPUTED_VALUE"""),86.0)</f>
        <v>86</v>
      </c>
    </row>
    <row r="27">
      <c r="A27" s="1">
        <f>IFERROR(__xludf.DUMMYFUNCTION("""COMPUTED_VALUE"""),26.0)</f>
        <v>26</v>
      </c>
      <c r="B27" s="1" t="str">
        <f>IFERROR(__xludf.DUMMYFUNCTION("""COMPUTED_VALUE"""),"Bulgaria")</f>
        <v>Bulgaria</v>
      </c>
      <c r="C27" s="2">
        <f>IFERROR(__xludf.DUMMYFUNCTION("""COMPUTED_VALUE"""),6687717.0)</f>
        <v>6687717</v>
      </c>
      <c r="D27" s="2">
        <f>IFERROR(__xludf.DUMMYFUNCTION("""COMPUTED_VALUE"""),108560.0)</f>
        <v>108560</v>
      </c>
      <c r="E27" s="1">
        <f>IFERROR(__xludf.DUMMYFUNCTION("""COMPUTED_VALUE"""),62.0)</f>
        <v>62</v>
      </c>
    </row>
    <row r="28">
      <c r="A28" s="1">
        <f>IFERROR(__xludf.DUMMYFUNCTION("""COMPUTED_VALUE"""),27.0)</f>
        <v>27</v>
      </c>
      <c r="B28" s="1" t="str">
        <f>IFERROR(__xludf.DUMMYFUNCTION("""COMPUTED_VALUE"""),"Burkina Faso")</f>
        <v>Burkina Faso</v>
      </c>
      <c r="C28" s="2">
        <f>IFERROR(__xludf.DUMMYFUNCTION("""COMPUTED_VALUE"""),2.3251485E7)</f>
        <v>23251485</v>
      </c>
      <c r="D28" s="2">
        <f>IFERROR(__xludf.DUMMYFUNCTION("""COMPUTED_VALUE"""),273600.0)</f>
        <v>273600</v>
      </c>
      <c r="E28" s="1">
        <f>IFERROR(__xludf.DUMMYFUNCTION("""COMPUTED_VALUE"""),85.0)</f>
        <v>85</v>
      </c>
    </row>
    <row r="29">
      <c r="A29" s="1">
        <f>IFERROR(__xludf.DUMMYFUNCTION("""COMPUTED_VALUE"""),28.0)</f>
        <v>28</v>
      </c>
      <c r="B29" s="1" t="str">
        <f>IFERROR(__xludf.DUMMYFUNCTION("""COMPUTED_VALUE"""),"Burundi")</f>
        <v>Burundi</v>
      </c>
      <c r="C29" s="2">
        <f>IFERROR(__xludf.DUMMYFUNCTION("""COMPUTED_VALUE"""),1.3238559E7)</f>
        <v>13238559</v>
      </c>
      <c r="D29" s="2">
        <f>IFERROR(__xludf.DUMMYFUNCTION("""COMPUTED_VALUE"""),25680.0)</f>
        <v>25680</v>
      </c>
      <c r="E29" s="1">
        <f>IFERROR(__xludf.DUMMYFUNCTION("""COMPUTED_VALUE"""),516.0)</f>
        <v>516</v>
      </c>
    </row>
    <row r="30">
      <c r="A30" s="1">
        <f>IFERROR(__xludf.DUMMYFUNCTION("""COMPUTED_VALUE"""),29.0)</f>
        <v>29</v>
      </c>
      <c r="B30" s="1" t="str">
        <f>IFERROR(__xludf.DUMMYFUNCTION("""COMPUTED_VALUE"""),"Côte d'Ivoire")</f>
        <v>Côte d'Ivoire</v>
      </c>
      <c r="C30" s="2">
        <f>IFERROR(__xludf.DUMMYFUNCTION("""COMPUTED_VALUE"""),2.8873034E7)</f>
        <v>28873034</v>
      </c>
      <c r="D30" s="2">
        <f>IFERROR(__xludf.DUMMYFUNCTION("""COMPUTED_VALUE"""),318000.0)</f>
        <v>318000</v>
      </c>
      <c r="E30" s="1">
        <f>IFERROR(__xludf.DUMMYFUNCTION("""COMPUTED_VALUE"""),91.0)</f>
        <v>91</v>
      </c>
    </row>
    <row r="31">
      <c r="A31" s="1">
        <f>IFERROR(__xludf.DUMMYFUNCTION("""COMPUTED_VALUE"""),30.0)</f>
        <v>30</v>
      </c>
      <c r="B31" s="1" t="str">
        <f>IFERROR(__xludf.DUMMYFUNCTION("""COMPUTED_VALUE"""),"Cabo Verde")</f>
        <v>Cabo Verde</v>
      </c>
      <c r="C31" s="2">
        <f>IFERROR(__xludf.DUMMYFUNCTION("""COMPUTED_VALUE"""),598682.0)</f>
        <v>598682</v>
      </c>
      <c r="D31" s="2">
        <f>IFERROR(__xludf.DUMMYFUNCTION("""COMPUTED_VALUE"""),4030.0)</f>
        <v>4030</v>
      </c>
      <c r="E31" s="1">
        <f>IFERROR(__xludf.DUMMYFUNCTION("""COMPUTED_VALUE"""),149.0)</f>
        <v>149</v>
      </c>
    </row>
    <row r="32">
      <c r="A32" s="1">
        <f>IFERROR(__xludf.DUMMYFUNCTION("""COMPUTED_VALUE"""),31.0)</f>
        <v>31</v>
      </c>
      <c r="B32" s="1" t="str">
        <f>IFERROR(__xludf.DUMMYFUNCTION("""COMPUTED_VALUE"""),"Cambodia")</f>
        <v>Cambodia</v>
      </c>
      <c r="C32" s="2">
        <f>IFERROR(__xludf.DUMMYFUNCTION("""COMPUTED_VALUE"""),1.6944826E7)</f>
        <v>16944826</v>
      </c>
      <c r="D32" s="2">
        <f>IFERROR(__xludf.DUMMYFUNCTION("""COMPUTED_VALUE"""),176520.0)</f>
        <v>176520</v>
      </c>
      <c r="E32" s="1">
        <f>IFERROR(__xludf.DUMMYFUNCTION("""COMPUTED_VALUE"""),96.0)</f>
        <v>96</v>
      </c>
    </row>
    <row r="33">
      <c r="A33" s="1">
        <f>IFERROR(__xludf.DUMMYFUNCTION("""COMPUTED_VALUE"""),32.0)</f>
        <v>32</v>
      </c>
      <c r="B33" s="1" t="str">
        <f>IFERROR(__xludf.DUMMYFUNCTION("""COMPUTED_VALUE"""),"Cameroon")</f>
        <v>Cameroon</v>
      </c>
      <c r="C33" s="2">
        <f>IFERROR(__xludf.DUMMYFUNCTION("""COMPUTED_VALUE"""),2.8647293E7)</f>
        <v>28647293</v>
      </c>
      <c r="D33" s="2">
        <f>IFERROR(__xludf.DUMMYFUNCTION("""COMPUTED_VALUE"""),472710.0)</f>
        <v>472710</v>
      </c>
      <c r="E33" s="1">
        <f>IFERROR(__xludf.DUMMYFUNCTION("""COMPUTED_VALUE"""),61.0)</f>
        <v>61</v>
      </c>
    </row>
    <row r="34">
      <c r="A34" s="1">
        <f>IFERROR(__xludf.DUMMYFUNCTION("""COMPUTED_VALUE"""),33.0)</f>
        <v>33</v>
      </c>
      <c r="B34" s="1" t="str">
        <f>IFERROR(__xludf.DUMMYFUNCTION("""COMPUTED_VALUE"""),"Canada")</f>
        <v>Canada</v>
      </c>
      <c r="C34" s="2">
        <f>IFERROR(__xludf.DUMMYFUNCTION("""COMPUTED_VALUE"""),3.8781291E7)</f>
        <v>38781291</v>
      </c>
      <c r="D34" s="2">
        <f>IFERROR(__xludf.DUMMYFUNCTION("""COMPUTED_VALUE"""),9093510.0)</f>
        <v>9093510</v>
      </c>
      <c r="E34" s="1">
        <f>IFERROR(__xludf.DUMMYFUNCTION("""COMPUTED_VALUE"""),4.0)</f>
        <v>4</v>
      </c>
    </row>
    <row r="35">
      <c r="A35" s="1">
        <f>IFERROR(__xludf.DUMMYFUNCTION("""COMPUTED_VALUE"""),34.0)</f>
        <v>34</v>
      </c>
      <c r="B35" s="1" t="str">
        <f>IFERROR(__xludf.DUMMYFUNCTION("""COMPUTED_VALUE"""),"Central African Republic")</f>
        <v>Central African Republic</v>
      </c>
      <c r="C35" s="2">
        <f>IFERROR(__xludf.DUMMYFUNCTION("""COMPUTED_VALUE"""),5742315.0)</f>
        <v>5742315</v>
      </c>
      <c r="D35" s="2">
        <f>IFERROR(__xludf.DUMMYFUNCTION("""COMPUTED_VALUE"""),622980.0)</f>
        <v>622980</v>
      </c>
      <c r="E35" s="1">
        <f>IFERROR(__xludf.DUMMYFUNCTION("""COMPUTED_VALUE"""),9.0)</f>
        <v>9</v>
      </c>
    </row>
    <row r="36">
      <c r="A36" s="1">
        <f>IFERROR(__xludf.DUMMYFUNCTION("""COMPUTED_VALUE"""),35.0)</f>
        <v>35</v>
      </c>
      <c r="B36" s="1" t="str">
        <f>IFERROR(__xludf.DUMMYFUNCTION("""COMPUTED_VALUE"""),"Chad")</f>
        <v>Chad</v>
      </c>
      <c r="C36" s="2">
        <f>IFERROR(__xludf.DUMMYFUNCTION("""COMPUTED_VALUE"""),1.8278568E7)</f>
        <v>18278568</v>
      </c>
      <c r="D36" s="2">
        <f>IFERROR(__xludf.DUMMYFUNCTION("""COMPUTED_VALUE"""),1259200.0)</f>
        <v>1259200</v>
      </c>
      <c r="E36" s="1">
        <f>IFERROR(__xludf.DUMMYFUNCTION("""COMPUTED_VALUE"""),15.0)</f>
        <v>15</v>
      </c>
    </row>
    <row r="37">
      <c r="A37" s="1">
        <f>IFERROR(__xludf.DUMMYFUNCTION("""COMPUTED_VALUE"""),36.0)</f>
        <v>36</v>
      </c>
      <c r="B37" s="1" t="str">
        <f>IFERROR(__xludf.DUMMYFUNCTION("""COMPUTED_VALUE"""),"Chile")</f>
        <v>Chile</v>
      </c>
      <c r="C37" s="2">
        <f>IFERROR(__xludf.DUMMYFUNCTION("""COMPUTED_VALUE"""),1.962959E7)</f>
        <v>19629590</v>
      </c>
      <c r="D37" s="2">
        <f>IFERROR(__xludf.DUMMYFUNCTION("""COMPUTED_VALUE"""),743532.0)</f>
        <v>743532</v>
      </c>
      <c r="E37" s="1">
        <f>IFERROR(__xludf.DUMMYFUNCTION("""COMPUTED_VALUE"""),26.0)</f>
        <v>26</v>
      </c>
    </row>
    <row r="38">
      <c r="A38" s="1">
        <f>IFERROR(__xludf.DUMMYFUNCTION("""COMPUTED_VALUE"""),37.0)</f>
        <v>37</v>
      </c>
      <c r="B38" s="1" t="str">
        <f>IFERROR(__xludf.DUMMYFUNCTION("""COMPUTED_VALUE"""),"China")</f>
        <v>China</v>
      </c>
      <c r="C38" s="2">
        <f>IFERROR(__xludf.DUMMYFUNCTION("""COMPUTED_VALUE"""),1.425671352E9)</f>
        <v>1425671352</v>
      </c>
      <c r="D38" s="2">
        <f>IFERROR(__xludf.DUMMYFUNCTION("""COMPUTED_VALUE"""),9388211.0)</f>
        <v>9388211</v>
      </c>
      <c r="E38" s="1">
        <f>IFERROR(__xludf.DUMMYFUNCTION("""COMPUTED_VALUE"""),152.0)</f>
        <v>152</v>
      </c>
    </row>
    <row r="39">
      <c r="A39" s="1">
        <f>IFERROR(__xludf.DUMMYFUNCTION("""COMPUTED_VALUE"""),38.0)</f>
        <v>38</v>
      </c>
      <c r="B39" s="1" t="str">
        <f>IFERROR(__xludf.DUMMYFUNCTION("""COMPUTED_VALUE"""),"Colombia")</f>
        <v>Colombia</v>
      </c>
      <c r="C39" s="2">
        <f>IFERROR(__xludf.DUMMYFUNCTION("""COMPUTED_VALUE"""),5.2085168E7)</f>
        <v>52085168</v>
      </c>
      <c r="D39" s="2">
        <f>IFERROR(__xludf.DUMMYFUNCTION("""COMPUTED_VALUE"""),1109500.0)</f>
        <v>1109500</v>
      </c>
      <c r="E39" s="1">
        <f>IFERROR(__xludf.DUMMYFUNCTION("""COMPUTED_VALUE"""),47.0)</f>
        <v>47</v>
      </c>
    </row>
    <row r="40">
      <c r="A40" s="1">
        <f>IFERROR(__xludf.DUMMYFUNCTION("""COMPUTED_VALUE"""),39.0)</f>
        <v>39</v>
      </c>
      <c r="B40" s="1" t="str">
        <f>IFERROR(__xludf.DUMMYFUNCTION("""COMPUTED_VALUE"""),"Comoros")</f>
        <v>Comoros</v>
      </c>
      <c r="C40" s="2">
        <f>IFERROR(__xludf.DUMMYFUNCTION("""COMPUTED_VALUE"""),852075.0)</f>
        <v>852075</v>
      </c>
      <c r="D40" s="2">
        <f>IFERROR(__xludf.DUMMYFUNCTION("""COMPUTED_VALUE"""),1861.0)</f>
        <v>1861</v>
      </c>
      <c r="E40" s="1">
        <f>IFERROR(__xludf.DUMMYFUNCTION("""COMPUTED_VALUE"""),458.0)</f>
        <v>458</v>
      </c>
    </row>
    <row r="41">
      <c r="A41" s="1">
        <f>IFERROR(__xludf.DUMMYFUNCTION("""COMPUTED_VALUE"""),40.0)</f>
        <v>40</v>
      </c>
      <c r="B41" s="1" t="str">
        <f>IFERROR(__xludf.DUMMYFUNCTION("""COMPUTED_VALUE"""),"Congo (Congo-Brazzaville)")</f>
        <v>Congo (Congo-Brazzaville)</v>
      </c>
      <c r="C41" s="2">
        <f>IFERROR(__xludf.DUMMYFUNCTION("""COMPUTED_VALUE"""),6106869.0)</f>
        <v>6106869</v>
      </c>
      <c r="D41" s="2">
        <f>IFERROR(__xludf.DUMMYFUNCTION("""COMPUTED_VALUE"""),341500.0)</f>
        <v>341500</v>
      </c>
      <c r="E41" s="1">
        <f>IFERROR(__xludf.DUMMYFUNCTION("""COMPUTED_VALUE"""),18.0)</f>
        <v>18</v>
      </c>
    </row>
    <row r="42">
      <c r="A42" s="1">
        <f>IFERROR(__xludf.DUMMYFUNCTION("""COMPUTED_VALUE"""),41.0)</f>
        <v>41</v>
      </c>
      <c r="B42" s="1" t="str">
        <f>IFERROR(__xludf.DUMMYFUNCTION("""COMPUTED_VALUE"""),"Costa Rica")</f>
        <v>Costa Rica</v>
      </c>
      <c r="C42" s="2">
        <f>IFERROR(__xludf.DUMMYFUNCTION("""COMPUTED_VALUE"""),5212173.0)</f>
        <v>5212173</v>
      </c>
      <c r="D42" s="2">
        <f>IFERROR(__xludf.DUMMYFUNCTION("""COMPUTED_VALUE"""),51060.0)</f>
        <v>51060</v>
      </c>
      <c r="E42" s="1">
        <f>IFERROR(__xludf.DUMMYFUNCTION("""COMPUTED_VALUE"""),102.0)</f>
        <v>102</v>
      </c>
    </row>
    <row r="43">
      <c r="A43" s="1">
        <f>IFERROR(__xludf.DUMMYFUNCTION("""COMPUTED_VALUE"""),42.0)</f>
        <v>42</v>
      </c>
      <c r="B43" s="1" t="str">
        <f>IFERROR(__xludf.DUMMYFUNCTION("""COMPUTED_VALUE"""),"Croatia")</f>
        <v>Croatia</v>
      </c>
      <c r="C43" s="2">
        <f>IFERROR(__xludf.DUMMYFUNCTION("""COMPUTED_VALUE"""),4008617.0)</f>
        <v>4008617</v>
      </c>
      <c r="D43" s="2">
        <f>IFERROR(__xludf.DUMMYFUNCTION("""COMPUTED_VALUE"""),55960.0)</f>
        <v>55960</v>
      </c>
      <c r="E43" s="1">
        <f>IFERROR(__xludf.DUMMYFUNCTION("""COMPUTED_VALUE"""),72.0)</f>
        <v>72</v>
      </c>
    </row>
    <row r="44">
      <c r="A44" s="1">
        <f>IFERROR(__xludf.DUMMYFUNCTION("""COMPUTED_VALUE"""),43.0)</f>
        <v>43</v>
      </c>
      <c r="B44" s="1" t="str">
        <f>IFERROR(__xludf.DUMMYFUNCTION("""COMPUTED_VALUE"""),"Cuba")</f>
        <v>Cuba</v>
      </c>
      <c r="C44" s="2">
        <f>IFERROR(__xludf.DUMMYFUNCTION("""COMPUTED_VALUE"""),1.1194449E7)</f>
        <v>11194449</v>
      </c>
      <c r="D44" s="2">
        <f>IFERROR(__xludf.DUMMYFUNCTION("""COMPUTED_VALUE"""),106440.0)</f>
        <v>106440</v>
      </c>
      <c r="E44" s="1">
        <f>IFERROR(__xludf.DUMMYFUNCTION("""COMPUTED_VALUE"""),105.0)</f>
        <v>105</v>
      </c>
    </row>
    <row r="45">
      <c r="A45" s="1">
        <f>IFERROR(__xludf.DUMMYFUNCTION("""COMPUTED_VALUE"""),44.0)</f>
        <v>44</v>
      </c>
      <c r="B45" s="1" t="str">
        <f>IFERROR(__xludf.DUMMYFUNCTION("""COMPUTED_VALUE"""),"Cyprus")</f>
        <v>Cyprus</v>
      </c>
      <c r="C45" s="2">
        <f>IFERROR(__xludf.DUMMYFUNCTION("""COMPUTED_VALUE"""),1260138.0)</f>
        <v>1260138</v>
      </c>
      <c r="D45" s="2">
        <f>IFERROR(__xludf.DUMMYFUNCTION("""COMPUTED_VALUE"""),9240.0)</f>
        <v>9240</v>
      </c>
      <c r="E45" s="1">
        <f>IFERROR(__xludf.DUMMYFUNCTION("""COMPUTED_VALUE"""),136.0)</f>
        <v>136</v>
      </c>
    </row>
    <row r="46">
      <c r="A46" s="1">
        <f>IFERROR(__xludf.DUMMYFUNCTION("""COMPUTED_VALUE"""),45.0)</f>
        <v>45</v>
      </c>
      <c r="B46" s="1" t="str">
        <f>IFERROR(__xludf.DUMMYFUNCTION("""COMPUTED_VALUE"""),"Czechia (Czech Republic)")</f>
        <v>Czechia (Czech Republic)</v>
      </c>
      <c r="C46" s="2">
        <f>IFERROR(__xludf.DUMMYFUNCTION("""COMPUTED_VALUE"""),1.0495295E7)</f>
        <v>10495295</v>
      </c>
      <c r="D46" s="2">
        <f>IFERROR(__xludf.DUMMYFUNCTION("""COMPUTED_VALUE"""),77240.0)</f>
        <v>77240</v>
      </c>
      <c r="E46" s="1">
        <f>IFERROR(__xludf.DUMMYFUNCTION("""COMPUTED_VALUE"""),136.0)</f>
        <v>136</v>
      </c>
    </row>
    <row r="47">
      <c r="A47" s="1">
        <f>IFERROR(__xludf.DUMMYFUNCTION("""COMPUTED_VALUE"""),46.0)</f>
        <v>46</v>
      </c>
      <c r="B47" s="1" t="str">
        <f>IFERROR(__xludf.DUMMYFUNCTION("""COMPUTED_VALUE"""),"Democratic Republic of the Congo")</f>
        <v>Democratic Republic of the Congo</v>
      </c>
      <c r="C47" s="2">
        <f>IFERROR(__xludf.DUMMYFUNCTION("""COMPUTED_VALUE"""),1.02262808E8)</f>
        <v>102262808</v>
      </c>
      <c r="D47" s="2">
        <f>IFERROR(__xludf.DUMMYFUNCTION("""COMPUTED_VALUE"""),2267050.0)</f>
        <v>2267050</v>
      </c>
      <c r="E47" s="1">
        <f>IFERROR(__xludf.DUMMYFUNCTION("""COMPUTED_VALUE"""),45.0)</f>
        <v>45</v>
      </c>
    </row>
    <row r="48">
      <c r="A48" s="1">
        <f>IFERROR(__xludf.DUMMYFUNCTION("""COMPUTED_VALUE"""),47.0)</f>
        <v>47</v>
      </c>
      <c r="B48" s="1" t="str">
        <f>IFERROR(__xludf.DUMMYFUNCTION("""COMPUTED_VALUE"""),"Denmark")</f>
        <v>Denmark</v>
      </c>
      <c r="C48" s="2">
        <f>IFERROR(__xludf.DUMMYFUNCTION("""COMPUTED_VALUE"""),5910913.0)</f>
        <v>5910913</v>
      </c>
      <c r="D48" s="2">
        <f>IFERROR(__xludf.DUMMYFUNCTION("""COMPUTED_VALUE"""),42430.0)</f>
        <v>42430</v>
      </c>
      <c r="E48" s="1">
        <f>IFERROR(__xludf.DUMMYFUNCTION("""COMPUTED_VALUE"""),139.0)</f>
        <v>139</v>
      </c>
    </row>
    <row r="49">
      <c r="A49" s="1">
        <f>IFERROR(__xludf.DUMMYFUNCTION("""COMPUTED_VALUE"""),48.0)</f>
        <v>48</v>
      </c>
      <c r="B49" s="1" t="str">
        <f>IFERROR(__xludf.DUMMYFUNCTION("""COMPUTED_VALUE"""),"Djibouti")</f>
        <v>Djibouti</v>
      </c>
      <c r="C49" s="2">
        <f>IFERROR(__xludf.DUMMYFUNCTION("""COMPUTED_VALUE"""),1136455.0)</f>
        <v>1136455</v>
      </c>
      <c r="D49" s="2">
        <f>IFERROR(__xludf.DUMMYFUNCTION("""COMPUTED_VALUE"""),23180.0)</f>
        <v>23180</v>
      </c>
      <c r="E49" s="1">
        <f>IFERROR(__xludf.DUMMYFUNCTION("""COMPUTED_VALUE"""),49.0)</f>
        <v>49</v>
      </c>
    </row>
    <row r="50">
      <c r="A50" s="1">
        <f>IFERROR(__xludf.DUMMYFUNCTION("""COMPUTED_VALUE"""),49.0)</f>
        <v>49</v>
      </c>
      <c r="B50" s="1" t="str">
        <f>IFERROR(__xludf.DUMMYFUNCTION("""COMPUTED_VALUE"""),"Dominica")</f>
        <v>Dominica</v>
      </c>
      <c r="C50" s="2">
        <f>IFERROR(__xludf.DUMMYFUNCTION("""COMPUTED_VALUE"""),73040.0)</f>
        <v>73040</v>
      </c>
      <c r="D50" s="1">
        <f>IFERROR(__xludf.DUMMYFUNCTION("""COMPUTED_VALUE"""),750.0)</f>
        <v>750</v>
      </c>
      <c r="E50" s="1">
        <f>IFERROR(__xludf.DUMMYFUNCTION("""COMPUTED_VALUE"""),97.0)</f>
        <v>97</v>
      </c>
    </row>
    <row r="51">
      <c r="A51" s="1">
        <f>IFERROR(__xludf.DUMMYFUNCTION("""COMPUTED_VALUE"""),50.0)</f>
        <v>50</v>
      </c>
      <c r="B51" s="1" t="str">
        <f>IFERROR(__xludf.DUMMYFUNCTION("""COMPUTED_VALUE"""),"Dominican Republic")</f>
        <v>Dominican Republic</v>
      </c>
      <c r="C51" s="2">
        <f>IFERROR(__xludf.DUMMYFUNCTION("""COMPUTED_VALUE"""),1.1332972E7)</f>
        <v>11332972</v>
      </c>
      <c r="D51" s="2">
        <f>IFERROR(__xludf.DUMMYFUNCTION("""COMPUTED_VALUE"""),48320.0)</f>
        <v>48320</v>
      </c>
      <c r="E51" s="1">
        <f>IFERROR(__xludf.DUMMYFUNCTION("""COMPUTED_VALUE"""),235.0)</f>
        <v>235</v>
      </c>
    </row>
    <row r="52">
      <c r="A52" s="1">
        <f>IFERROR(__xludf.DUMMYFUNCTION("""COMPUTED_VALUE"""),51.0)</f>
        <v>51</v>
      </c>
      <c r="B52" s="1" t="str">
        <f>IFERROR(__xludf.DUMMYFUNCTION("""COMPUTED_VALUE"""),"Ecuador")</f>
        <v>Ecuador</v>
      </c>
      <c r="C52" s="2">
        <f>IFERROR(__xludf.DUMMYFUNCTION("""COMPUTED_VALUE"""),1.8190484E7)</f>
        <v>18190484</v>
      </c>
      <c r="D52" s="2">
        <f>IFERROR(__xludf.DUMMYFUNCTION("""COMPUTED_VALUE"""),248360.0)</f>
        <v>248360</v>
      </c>
      <c r="E52" s="1">
        <f>IFERROR(__xludf.DUMMYFUNCTION("""COMPUTED_VALUE"""),73.0)</f>
        <v>73</v>
      </c>
    </row>
    <row r="53">
      <c r="A53" s="1">
        <f>IFERROR(__xludf.DUMMYFUNCTION("""COMPUTED_VALUE"""),52.0)</f>
        <v>52</v>
      </c>
      <c r="B53" s="1" t="str">
        <f>IFERROR(__xludf.DUMMYFUNCTION("""COMPUTED_VALUE"""),"Egypt")</f>
        <v>Egypt</v>
      </c>
      <c r="C53" s="2">
        <f>IFERROR(__xludf.DUMMYFUNCTION("""COMPUTED_VALUE"""),1.12716598E8)</f>
        <v>112716598</v>
      </c>
      <c r="D53" s="2">
        <f>IFERROR(__xludf.DUMMYFUNCTION("""COMPUTED_VALUE"""),995450.0)</f>
        <v>995450</v>
      </c>
      <c r="E53" s="1">
        <f>IFERROR(__xludf.DUMMYFUNCTION("""COMPUTED_VALUE"""),113.0)</f>
        <v>113</v>
      </c>
    </row>
    <row r="54">
      <c r="A54" s="1">
        <f>IFERROR(__xludf.DUMMYFUNCTION("""COMPUTED_VALUE"""),53.0)</f>
        <v>53</v>
      </c>
      <c r="B54" s="1" t="str">
        <f>IFERROR(__xludf.DUMMYFUNCTION("""COMPUTED_VALUE"""),"El Salvador")</f>
        <v>El Salvador</v>
      </c>
      <c r="C54" s="2">
        <f>IFERROR(__xludf.DUMMYFUNCTION("""COMPUTED_VALUE"""),6364943.0)</f>
        <v>6364943</v>
      </c>
      <c r="D54" s="2">
        <f>IFERROR(__xludf.DUMMYFUNCTION("""COMPUTED_VALUE"""),20720.0)</f>
        <v>20720</v>
      </c>
      <c r="E54" s="1">
        <f>IFERROR(__xludf.DUMMYFUNCTION("""COMPUTED_VALUE"""),307.0)</f>
        <v>307</v>
      </c>
    </row>
    <row r="55">
      <c r="A55" s="1">
        <f>IFERROR(__xludf.DUMMYFUNCTION("""COMPUTED_VALUE"""),54.0)</f>
        <v>54</v>
      </c>
      <c r="B55" s="1" t="str">
        <f>IFERROR(__xludf.DUMMYFUNCTION("""COMPUTED_VALUE"""),"Equatorial Guinea")</f>
        <v>Equatorial Guinea</v>
      </c>
      <c r="C55" s="2">
        <f>IFERROR(__xludf.DUMMYFUNCTION("""COMPUTED_VALUE"""),1714671.0)</f>
        <v>1714671</v>
      </c>
      <c r="D55" s="2">
        <f>IFERROR(__xludf.DUMMYFUNCTION("""COMPUTED_VALUE"""),28050.0)</f>
        <v>28050</v>
      </c>
      <c r="E55" s="1">
        <f>IFERROR(__xludf.DUMMYFUNCTION("""COMPUTED_VALUE"""),61.0)</f>
        <v>61</v>
      </c>
    </row>
    <row r="56">
      <c r="A56" s="1">
        <f>IFERROR(__xludf.DUMMYFUNCTION("""COMPUTED_VALUE"""),55.0)</f>
        <v>55</v>
      </c>
      <c r="B56" s="1" t="str">
        <f>IFERROR(__xludf.DUMMYFUNCTION("""COMPUTED_VALUE"""),"Eritrea")</f>
        <v>Eritrea</v>
      </c>
      <c r="C56" s="2">
        <f>IFERROR(__xludf.DUMMYFUNCTION("""COMPUTED_VALUE"""),3748901.0)</f>
        <v>3748901</v>
      </c>
      <c r="D56" s="2">
        <f>IFERROR(__xludf.DUMMYFUNCTION("""COMPUTED_VALUE"""),101000.0)</f>
        <v>101000</v>
      </c>
      <c r="E56" s="1">
        <f>IFERROR(__xludf.DUMMYFUNCTION("""COMPUTED_VALUE"""),37.0)</f>
        <v>37</v>
      </c>
    </row>
    <row r="57">
      <c r="A57" s="1">
        <f>IFERROR(__xludf.DUMMYFUNCTION("""COMPUTED_VALUE"""),56.0)</f>
        <v>56</v>
      </c>
      <c r="B57" s="1" t="str">
        <f>IFERROR(__xludf.DUMMYFUNCTION("""COMPUTED_VALUE"""),"Estonia")</f>
        <v>Estonia</v>
      </c>
      <c r="C57" s="2">
        <f>IFERROR(__xludf.DUMMYFUNCTION("""COMPUTED_VALUE"""),1322765.0)</f>
        <v>1322765</v>
      </c>
      <c r="D57" s="2">
        <f>IFERROR(__xludf.DUMMYFUNCTION("""COMPUTED_VALUE"""),42390.0)</f>
        <v>42390</v>
      </c>
      <c r="E57" s="1">
        <f>IFERROR(__xludf.DUMMYFUNCTION("""COMPUTED_VALUE"""),31.0)</f>
        <v>31</v>
      </c>
    </row>
    <row r="58">
      <c r="A58" s="1">
        <f>IFERROR(__xludf.DUMMYFUNCTION("""COMPUTED_VALUE"""),57.0)</f>
        <v>57</v>
      </c>
      <c r="B58" s="1" t="str">
        <f>IFERROR(__xludf.DUMMYFUNCTION("""COMPUTED_VALUE"""),"Eswatini (fmr. ""Swaziland"")")</f>
        <v>Eswatini (fmr. "Swaziland")</v>
      </c>
      <c r="C58" s="2">
        <f>IFERROR(__xludf.DUMMYFUNCTION("""COMPUTED_VALUE"""),1210822.0)</f>
        <v>1210822</v>
      </c>
      <c r="D58" s="2">
        <f>IFERROR(__xludf.DUMMYFUNCTION("""COMPUTED_VALUE"""),17200.0)</f>
        <v>17200</v>
      </c>
      <c r="E58" s="1">
        <f>IFERROR(__xludf.DUMMYFUNCTION("""COMPUTED_VALUE"""),70.0)</f>
        <v>70</v>
      </c>
    </row>
    <row r="59">
      <c r="A59" s="1">
        <f>IFERROR(__xludf.DUMMYFUNCTION("""COMPUTED_VALUE"""),58.0)</f>
        <v>58</v>
      </c>
      <c r="B59" s="1" t="str">
        <f>IFERROR(__xludf.DUMMYFUNCTION("""COMPUTED_VALUE"""),"Ethiopia")</f>
        <v>Ethiopia</v>
      </c>
      <c r="C59" s="2">
        <f>IFERROR(__xludf.DUMMYFUNCTION("""COMPUTED_VALUE"""),1.2652706E8)</f>
        <v>126527060</v>
      </c>
      <c r="D59" s="2">
        <f>IFERROR(__xludf.DUMMYFUNCTION("""COMPUTED_VALUE"""),1000000.0)</f>
        <v>1000000</v>
      </c>
      <c r="E59" s="1">
        <f>IFERROR(__xludf.DUMMYFUNCTION("""COMPUTED_VALUE"""),127.0)</f>
        <v>127</v>
      </c>
    </row>
    <row r="60">
      <c r="A60" s="1">
        <f>IFERROR(__xludf.DUMMYFUNCTION("""COMPUTED_VALUE"""),59.0)</f>
        <v>59</v>
      </c>
      <c r="B60" s="1" t="str">
        <f>IFERROR(__xludf.DUMMYFUNCTION("""COMPUTED_VALUE"""),"Fiji")</f>
        <v>Fiji</v>
      </c>
      <c r="C60" s="2">
        <f>IFERROR(__xludf.DUMMYFUNCTION("""COMPUTED_VALUE"""),936375.0)</f>
        <v>936375</v>
      </c>
      <c r="D60" s="2">
        <f>IFERROR(__xludf.DUMMYFUNCTION("""COMPUTED_VALUE"""),18270.0)</f>
        <v>18270</v>
      </c>
      <c r="E60" s="1">
        <f>IFERROR(__xludf.DUMMYFUNCTION("""COMPUTED_VALUE"""),51.0)</f>
        <v>51</v>
      </c>
    </row>
    <row r="61">
      <c r="A61" s="1">
        <f>IFERROR(__xludf.DUMMYFUNCTION("""COMPUTED_VALUE"""),60.0)</f>
        <v>60</v>
      </c>
      <c r="B61" s="1" t="str">
        <f>IFERROR(__xludf.DUMMYFUNCTION("""COMPUTED_VALUE"""),"Finland")</f>
        <v>Finland</v>
      </c>
      <c r="C61" s="2">
        <f>IFERROR(__xludf.DUMMYFUNCTION("""COMPUTED_VALUE"""),5545475.0)</f>
        <v>5545475</v>
      </c>
      <c r="D61" s="2">
        <f>IFERROR(__xludf.DUMMYFUNCTION("""COMPUTED_VALUE"""),303890.0)</f>
        <v>303890</v>
      </c>
      <c r="E61" s="1">
        <f>IFERROR(__xludf.DUMMYFUNCTION("""COMPUTED_VALUE"""),18.0)</f>
        <v>18</v>
      </c>
    </row>
    <row r="62">
      <c r="A62" s="1">
        <f>IFERROR(__xludf.DUMMYFUNCTION("""COMPUTED_VALUE"""),61.0)</f>
        <v>61</v>
      </c>
      <c r="B62" s="1" t="str">
        <f>IFERROR(__xludf.DUMMYFUNCTION("""COMPUTED_VALUE"""),"France")</f>
        <v>France</v>
      </c>
      <c r="C62" s="2">
        <f>IFERROR(__xludf.DUMMYFUNCTION("""COMPUTED_VALUE"""),6.4756584E7)</f>
        <v>64756584</v>
      </c>
      <c r="D62" s="2">
        <f>IFERROR(__xludf.DUMMYFUNCTION("""COMPUTED_VALUE"""),547557.0)</f>
        <v>547557</v>
      </c>
      <c r="E62" s="1">
        <f>IFERROR(__xludf.DUMMYFUNCTION("""COMPUTED_VALUE"""),118.0)</f>
        <v>118</v>
      </c>
    </row>
    <row r="63">
      <c r="A63" s="1">
        <f>IFERROR(__xludf.DUMMYFUNCTION("""COMPUTED_VALUE"""),62.0)</f>
        <v>62</v>
      </c>
      <c r="B63" s="1" t="str">
        <f>IFERROR(__xludf.DUMMYFUNCTION("""COMPUTED_VALUE"""),"Gabon")</f>
        <v>Gabon</v>
      </c>
      <c r="C63" s="2">
        <f>IFERROR(__xludf.DUMMYFUNCTION("""COMPUTED_VALUE"""),2436566.0)</f>
        <v>2436566</v>
      </c>
      <c r="D63" s="2">
        <f>IFERROR(__xludf.DUMMYFUNCTION("""COMPUTED_VALUE"""),257670.0)</f>
        <v>257670</v>
      </c>
      <c r="E63" s="1">
        <f>IFERROR(__xludf.DUMMYFUNCTION("""COMPUTED_VALUE"""),9.0)</f>
        <v>9</v>
      </c>
    </row>
    <row r="64">
      <c r="A64" s="1">
        <f>IFERROR(__xludf.DUMMYFUNCTION("""COMPUTED_VALUE"""),63.0)</f>
        <v>63</v>
      </c>
      <c r="B64" s="1" t="str">
        <f>IFERROR(__xludf.DUMMYFUNCTION("""COMPUTED_VALUE"""),"Gambia")</f>
        <v>Gambia</v>
      </c>
      <c r="C64" s="2">
        <f>IFERROR(__xludf.DUMMYFUNCTION("""COMPUTED_VALUE"""),2773168.0)</f>
        <v>2773168</v>
      </c>
      <c r="D64" s="2">
        <f>IFERROR(__xludf.DUMMYFUNCTION("""COMPUTED_VALUE"""),10120.0)</f>
        <v>10120</v>
      </c>
      <c r="E64" s="1">
        <f>IFERROR(__xludf.DUMMYFUNCTION("""COMPUTED_VALUE"""),274.0)</f>
        <v>274</v>
      </c>
    </row>
    <row r="65">
      <c r="A65" s="1">
        <f>IFERROR(__xludf.DUMMYFUNCTION("""COMPUTED_VALUE"""),64.0)</f>
        <v>64</v>
      </c>
      <c r="B65" s="1" t="str">
        <f>IFERROR(__xludf.DUMMYFUNCTION("""COMPUTED_VALUE"""),"Georgia")</f>
        <v>Georgia</v>
      </c>
      <c r="C65" s="2">
        <f>IFERROR(__xludf.DUMMYFUNCTION("""COMPUTED_VALUE"""),3728282.0)</f>
        <v>3728282</v>
      </c>
      <c r="D65" s="2">
        <f>IFERROR(__xludf.DUMMYFUNCTION("""COMPUTED_VALUE"""),69490.0)</f>
        <v>69490</v>
      </c>
      <c r="E65" s="1">
        <f>IFERROR(__xludf.DUMMYFUNCTION("""COMPUTED_VALUE"""),54.0)</f>
        <v>54</v>
      </c>
    </row>
    <row r="66">
      <c r="A66" s="1">
        <f>IFERROR(__xludf.DUMMYFUNCTION("""COMPUTED_VALUE"""),65.0)</f>
        <v>65</v>
      </c>
      <c r="B66" s="1" t="str">
        <f>IFERROR(__xludf.DUMMYFUNCTION("""COMPUTED_VALUE"""),"Germany")</f>
        <v>Germany</v>
      </c>
      <c r="C66" s="2">
        <f>IFERROR(__xludf.DUMMYFUNCTION("""COMPUTED_VALUE"""),8.3294633E7)</f>
        <v>83294633</v>
      </c>
      <c r="D66" s="2">
        <f>IFERROR(__xludf.DUMMYFUNCTION("""COMPUTED_VALUE"""),348560.0)</f>
        <v>348560</v>
      </c>
      <c r="E66" s="1">
        <f>IFERROR(__xludf.DUMMYFUNCTION("""COMPUTED_VALUE"""),239.0)</f>
        <v>239</v>
      </c>
    </row>
    <row r="67">
      <c r="A67" s="1">
        <f>IFERROR(__xludf.DUMMYFUNCTION("""COMPUTED_VALUE"""),66.0)</f>
        <v>66</v>
      </c>
      <c r="B67" s="1" t="str">
        <f>IFERROR(__xludf.DUMMYFUNCTION("""COMPUTED_VALUE"""),"Ghana")</f>
        <v>Ghana</v>
      </c>
      <c r="C67" s="2">
        <f>IFERROR(__xludf.DUMMYFUNCTION("""COMPUTED_VALUE"""),3.4121985E7)</f>
        <v>34121985</v>
      </c>
      <c r="D67" s="2">
        <f>IFERROR(__xludf.DUMMYFUNCTION("""COMPUTED_VALUE"""),227540.0)</f>
        <v>227540</v>
      </c>
      <c r="E67" s="1">
        <f>IFERROR(__xludf.DUMMYFUNCTION("""COMPUTED_VALUE"""),150.0)</f>
        <v>150</v>
      </c>
    </row>
    <row r="68">
      <c r="A68" s="1">
        <f>IFERROR(__xludf.DUMMYFUNCTION("""COMPUTED_VALUE"""),67.0)</f>
        <v>67</v>
      </c>
      <c r="B68" s="1" t="str">
        <f>IFERROR(__xludf.DUMMYFUNCTION("""COMPUTED_VALUE"""),"Greece")</f>
        <v>Greece</v>
      </c>
      <c r="C68" s="2">
        <f>IFERROR(__xludf.DUMMYFUNCTION("""COMPUTED_VALUE"""),1.0341277E7)</f>
        <v>10341277</v>
      </c>
      <c r="D68" s="2">
        <f>IFERROR(__xludf.DUMMYFUNCTION("""COMPUTED_VALUE"""),128900.0)</f>
        <v>128900</v>
      </c>
      <c r="E68" s="1">
        <f>IFERROR(__xludf.DUMMYFUNCTION("""COMPUTED_VALUE"""),80.0)</f>
        <v>80</v>
      </c>
    </row>
    <row r="69">
      <c r="A69" s="1">
        <f>IFERROR(__xludf.DUMMYFUNCTION("""COMPUTED_VALUE"""),68.0)</f>
        <v>68</v>
      </c>
      <c r="B69" s="1" t="str">
        <f>IFERROR(__xludf.DUMMYFUNCTION("""COMPUTED_VALUE"""),"Grenada")</f>
        <v>Grenada</v>
      </c>
      <c r="C69" s="2">
        <f>IFERROR(__xludf.DUMMYFUNCTION("""COMPUTED_VALUE"""),126183.0)</f>
        <v>126183</v>
      </c>
      <c r="D69" s="1">
        <f>IFERROR(__xludf.DUMMYFUNCTION("""COMPUTED_VALUE"""),340.0)</f>
        <v>340</v>
      </c>
      <c r="E69" s="1">
        <f>IFERROR(__xludf.DUMMYFUNCTION("""COMPUTED_VALUE"""),371.0)</f>
        <v>371</v>
      </c>
    </row>
    <row r="70">
      <c r="A70" s="1">
        <f>IFERROR(__xludf.DUMMYFUNCTION("""COMPUTED_VALUE"""),69.0)</f>
        <v>69</v>
      </c>
      <c r="B70" s="1" t="str">
        <f>IFERROR(__xludf.DUMMYFUNCTION("""COMPUTED_VALUE"""),"Guatemala")</f>
        <v>Guatemala</v>
      </c>
      <c r="C70" s="2">
        <f>IFERROR(__xludf.DUMMYFUNCTION("""COMPUTED_VALUE"""),1.8092026E7)</f>
        <v>18092026</v>
      </c>
      <c r="D70" s="2">
        <f>IFERROR(__xludf.DUMMYFUNCTION("""COMPUTED_VALUE"""),107160.0)</f>
        <v>107160</v>
      </c>
      <c r="E70" s="1">
        <f>IFERROR(__xludf.DUMMYFUNCTION("""COMPUTED_VALUE"""),169.0)</f>
        <v>169</v>
      </c>
    </row>
    <row r="71">
      <c r="A71" s="1">
        <f>IFERROR(__xludf.DUMMYFUNCTION("""COMPUTED_VALUE"""),70.0)</f>
        <v>70</v>
      </c>
      <c r="B71" s="1" t="str">
        <f>IFERROR(__xludf.DUMMYFUNCTION("""COMPUTED_VALUE"""),"Guinea")</f>
        <v>Guinea</v>
      </c>
      <c r="C71" s="2">
        <f>IFERROR(__xludf.DUMMYFUNCTION("""COMPUTED_VALUE"""),1.4190612E7)</f>
        <v>14190612</v>
      </c>
      <c r="D71" s="2">
        <f>IFERROR(__xludf.DUMMYFUNCTION("""COMPUTED_VALUE"""),245720.0)</f>
        <v>245720</v>
      </c>
      <c r="E71" s="1">
        <f>IFERROR(__xludf.DUMMYFUNCTION("""COMPUTED_VALUE"""),58.0)</f>
        <v>58</v>
      </c>
    </row>
    <row r="72">
      <c r="A72" s="1">
        <f>IFERROR(__xludf.DUMMYFUNCTION("""COMPUTED_VALUE"""),71.0)</f>
        <v>71</v>
      </c>
      <c r="B72" s="1" t="str">
        <f>IFERROR(__xludf.DUMMYFUNCTION("""COMPUTED_VALUE"""),"Guinea-Bissau")</f>
        <v>Guinea-Bissau</v>
      </c>
      <c r="C72" s="2">
        <f>IFERROR(__xludf.DUMMYFUNCTION("""COMPUTED_VALUE"""),2150842.0)</f>
        <v>2150842</v>
      </c>
      <c r="D72" s="2">
        <f>IFERROR(__xludf.DUMMYFUNCTION("""COMPUTED_VALUE"""),28120.0)</f>
        <v>28120</v>
      </c>
      <c r="E72" s="1">
        <f>IFERROR(__xludf.DUMMYFUNCTION("""COMPUTED_VALUE"""),76.0)</f>
        <v>76</v>
      </c>
    </row>
    <row r="73">
      <c r="A73" s="1">
        <f>IFERROR(__xludf.DUMMYFUNCTION("""COMPUTED_VALUE"""),72.0)</f>
        <v>72</v>
      </c>
      <c r="B73" s="1" t="str">
        <f>IFERROR(__xludf.DUMMYFUNCTION("""COMPUTED_VALUE"""),"Guyana")</f>
        <v>Guyana</v>
      </c>
      <c r="C73" s="2">
        <f>IFERROR(__xludf.DUMMYFUNCTION("""COMPUTED_VALUE"""),813834.0)</f>
        <v>813834</v>
      </c>
      <c r="D73" s="2">
        <f>IFERROR(__xludf.DUMMYFUNCTION("""COMPUTED_VALUE"""),196850.0)</f>
        <v>196850</v>
      </c>
      <c r="E73" s="1">
        <f>IFERROR(__xludf.DUMMYFUNCTION("""COMPUTED_VALUE"""),4.0)</f>
        <v>4</v>
      </c>
    </row>
    <row r="74">
      <c r="A74" s="1">
        <f>IFERROR(__xludf.DUMMYFUNCTION("""COMPUTED_VALUE"""),73.0)</f>
        <v>73</v>
      </c>
      <c r="B74" s="1" t="str">
        <f>IFERROR(__xludf.DUMMYFUNCTION("""COMPUTED_VALUE"""),"Haiti")</f>
        <v>Haiti</v>
      </c>
      <c r="C74" s="2">
        <f>IFERROR(__xludf.DUMMYFUNCTION("""COMPUTED_VALUE"""),1.1724763E7)</f>
        <v>11724763</v>
      </c>
      <c r="D74" s="2">
        <f>IFERROR(__xludf.DUMMYFUNCTION("""COMPUTED_VALUE"""),27560.0)</f>
        <v>27560</v>
      </c>
      <c r="E74" s="1">
        <f>IFERROR(__xludf.DUMMYFUNCTION("""COMPUTED_VALUE"""),425.0)</f>
        <v>425</v>
      </c>
    </row>
    <row r="75">
      <c r="A75" s="1">
        <f>IFERROR(__xludf.DUMMYFUNCTION("""COMPUTED_VALUE"""),74.0)</f>
        <v>74</v>
      </c>
      <c r="B75" s="1" t="str">
        <f>IFERROR(__xludf.DUMMYFUNCTION("""COMPUTED_VALUE"""),"Holy See")</f>
        <v>Holy See</v>
      </c>
      <c r="C75" s="1">
        <f>IFERROR(__xludf.DUMMYFUNCTION("""COMPUTED_VALUE"""),518.0)</f>
        <v>518</v>
      </c>
      <c r="D75" s="1">
        <f>IFERROR(__xludf.DUMMYFUNCTION("""COMPUTED_VALUE"""),0.0)</f>
        <v>0</v>
      </c>
      <c r="E75" s="2">
        <f>IFERROR(__xludf.DUMMYFUNCTION("""COMPUTED_VALUE"""),1295.0)</f>
        <v>1295</v>
      </c>
    </row>
    <row r="76">
      <c r="A76" s="1">
        <f>IFERROR(__xludf.DUMMYFUNCTION("""COMPUTED_VALUE"""),75.0)</f>
        <v>75</v>
      </c>
      <c r="B76" s="1" t="str">
        <f>IFERROR(__xludf.DUMMYFUNCTION("""COMPUTED_VALUE"""),"Honduras")</f>
        <v>Honduras</v>
      </c>
      <c r="C76" s="2">
        <f>IFERROR(__xludf.DUMMYFUNCTION("""COMPUTED_VALUE"""),1.0593798E7)</f>
        <v>10593798</v>
      </c>
      <c r="D76" s="2">
        <f>IFERROR(__xludf.DUMMYFUNCTION("""COMPUTED_VALUE"""),111890.0)</f>
        <v>111890</v>
      </c>
      <c r="E76" s="1">
        <f>IFERROR(__xludf.DUMMYFUNCTION("""COMPUTED_VALUE"""),95.0)</f>
        <v>95</v>
      </c>
    </row>
    <row r="77">
      <c r="A77" s="1">
        <f>IFERROR(__xludf.DUMMYFUNCTION("""COMPUTED_VALUE"""),76.0)</f>
        <v>76</v>
      </c>
      <c r="B77" s="1" t="str">
        <f>IFERROR(__xludf.DUMMYFUNCTION("""COMPUTED_VALUE"""),"Hungary")</f>
        <v>Hungary</v>
      </c>
      <c r="C77" s="2">
        <f>IFERROR(__xludf.DUMMYFUNCTION("""COMPUTED_VALUE"""),1.0156239E7)</f>
        <v>10156239</v>
      </c>
      <c r="D77" s="2">
        <f>IFERROR(__xludf.DUMMYFUNCTION("""COMPUTED_VALUE"""),90530.0)</f>
        <v>90530</v>
      </c>
      <c r="E77" s="1">
        <f>IFERROR(__xludf.DUMMYFUNCTION("""COMPUTED_VALUE"""),112.0)</f>
        <v>112</v>
      </c>
    </row>
    <row r="78">
      <c r="A78" s="1">
        <f>IFERROR(__xludf.DUMMYFUNCTION("""COMPUTED_VALUE"""),77.0)</f>
        <v>77</v>
      </c>
      <c r="B78" s="1" t="str">
        <f>IFERROR(__xludf.DUMMYFUNCTION("""COMPUTED_VALUE"""),"Iceland")</f>
        <v>Iceland</v>
      </c>
      <c r="C78" s="2">
        <f>IFERROR(__xludf.DUMMYFUNCTION("""COMPUTED_VALUE"""),375318.0)</f>
        <v>375318</v>
      </c>
      <c r="D78" s="2">
        <f>IFERROR(__xludf.DUMMYFUNCTION("""COMPUTED_VALUE"""),100250.0)</f>
        <v>100250</v>
      </c>
      <c r="E78" s="1">
        <f>IFERROR(__xludf.DUMMYFUNCTION("""COMPUTED_VALUE"""),4.0)</f>
        <v>4</v>
      </c>
    </row>
    <row r="79">
      <c r="A79" s="1">
        <f>IFERROR(__xludf.DUMMYFUNCTION("""COMPUTED_VALUE"""),78.0)</f>
        <v>78</v>
      </c>
      <c r="B79" s="1" t="str">
        <f>IFERROR(__xludf.DUMMYFUNCTION("""COMPUTED_VALUE"""),"India")</f>
        <v>India</v>
      </c>
      <c r="C79" s="2">
        <f>IFERROR(__xludf.DUMMYFUNCTION("""COMPUTED_VALUE"""),1.428627663E9)</f>
        <v>1428627663</v>
      </c>
      <c r="D79" s="2">
        <f>IFERROR(__xludf.DUMMYFUNCTION("""COMPUTED_VALUE"""),2973190.0)</f>
        <v>2973190</v>
      </c>
      <c r="E79" s="1">
        <f>IFERROR(__xludf.DUMMYFUNCTION("""COMPUTED_VALUE"""),481.0)</f>
        <v>481</v>
      </c>
    </row>
    <row r="80">
      <c r="A80" s="1">
        <f>IFERROR(__xludf.DUMMYFUNCTION("""COMPUTED_VALUE"""),79.0)</f>
        <v>79</v>
      </c>
      <c r="B80" s="1" t="str">
        <f>IFERROR(__xludf.DUMMYFUNCTION("""COMPUTED_VALUE"""),"Indonesia")</f>
        <v>Indonesia</v>
      </c>
      <c r="C80" s="2">
        <f>IFERROR(__xludf.DUMMYFUNCTION("""COMPUTED_VALUE"""),2.77534122E8)</f>
        <v>277534122</v>
      </c>
      <c r="D80" s="2">
        <f>IFERROR(__xludf.DUMMYFUNCTION("""COMPUTED_VALUE"""),1811570.0)</f>
        <v>1811570</v>
      </c>
      <c r="E80" s="1">
        <f>IFERROR(__xludf.DUMMYFUNCTION("""COMPUTED_VALUE"""),153.0)</f>
        <v>153</v>
      </c>
    </row>
    <row r="81">
      <c r="A81" s="1">
        <f>IFERROR(__xludf.DUMMYFUNCTION("""COMPUTED_VALUE"""),80.0)</f>
        <v>80</v>
      </c>
      <c r="B81" s="1" t="str">
        <f>IFERROR(__xludf.DUMMYFUNCTION("""COMPUTED_VALUE"""),"Iran")</f>
        <v>Iran</v>
      </c>
      <c r="C81" s="2">
        <f>IFERROR(__xludf.DUMMYFUNCTION("""COMPUTED_VALUE"""),8.9172767E7)</f>
        <v>89172767</v>
      </c>
      <c r="D81" s="2">
        <f>IFERROR(__xludf.DUMMYFUNCTION("""COMPUTED_VALUE"""),1628550.0)</f>
        <v>1628550</v>
      </c>
      <c r="E81" s="1">
        <f>IFERROR(__xludf.DUMMYFUNCTION("""COMPUTED_VALUE"""),55.0)</f>
        <v>55</v>
      </c>
    </row>
    <row r="82">
      <c r="A82" s="1">
        <f>IFERROR(__xludf.DUMMYFUNCTION("""COMPUTED_VALUE"""),81.0)</f>
        <v>81</v>
      </c>
      <c r="B82" s="1" t="str">
        <f>IFERROR(__xludf.DUMMYFUNCTION("""COMPUTED_VALUE"""),"Iraq")</f>
        <v>Iraq</v>
      </c>
      <c r="C82" s="2">
        <f>IFERROR(__xludf.DUMMYFUNCTION("""COMPUTED_VALUE"""),4.550456E7)</f>
        <v>45504560</v>
      </c>
      <c r="D82" s="2">
        <f>IFERROR(__xludf.DUMMYFUNCTION("""COMPUTED_VALUE"""),434320.0)</f>
        <v>434320</v>
      </c>
      <c r="E82" s="1">
        <f>IFERROR(__xludf.DUMMYFUNCTION("""COMPUTED_VALUE"""),105.0)</f>
        <v>105</v>
      </c>
    </row>
    <row r="83">
      <c r="A83" s="1">
        <f>IFERROR(__xludf.DUMMYFUNCTION("""COMPUTED_VALUE"""),82.0)</f>
        <v>82</v>
      </c>
      <c r="B83" s="1" t="str">
        <f>IFERROR(__xludf.DUMMYFUNCTION("""COMPUTED_VALUE"""),"Ireland")</f>
        <v>Ireland</v>
      </c>
      <c r="C83" s="2">
        <f>IFERROR(__xludf.DUMMYFUNCTION("""COMPUTED_VALUE"""),5056935.0)</f>
        <v>5056935</v>
      </c>
      <c r="D83" s="2">
        <f>IFERROR(__xludf.DUMMYFUNCTION("""COMPUTED_VALUE"""),68890.0)</f>
        <v>68890</v>
      </c>
      <c r="E83" s="1">
        <f>IFERROR(__xludf.DUMMYFUNCTION("""COMPUTED_VALUE"""),73.0)</f>
        <v>73</v>
      </c>
    </row>
    <row r="84">
      <c r="A84" s="1">
        <f>IFERROR(__xludf.DUMMYFUNCTION("""COMPUTED_VALUE"""),83.0)</f>
        <v>83</v>
      </c>
      <c r="B84" s="1" t="str">
        <f>IFERROR(__xludf.DUMMYFUNCTION("""COMPUTED_VALUE"""),"Israel")</f>
        <v>Israel</v>
      </c>
      <c r="C84" s="2">
        <f>IFERROR(__xludf.DUMMYFUNCTION("""COMPUTED_VALUE"""),9174520.0)</f>
        <v>9174520</v>
      </c>
      <c r="D84" s="2">
        <f>IFERROR(__xludf.DUMMYFUNCTION("""COMPUTED_VALUE"""),21640.0)</f>
        <v>21640</v>
      </c>
      <c r="E84" s="1">
        <f>IFERROR(__xludf.DUMMYFUNCTION("""COMPUTED_VALUE"""),424.0)</f>
        <v>424</v>
      </c>
    </row>
    <row r="85">
      <c r="A85" s="1">
        <f>IFERROR(__xludf.DUMMYFUNCTION("""COMPUTED_VALUE"""),84.0)</f>
        <v>84</v>
      </c>
      <c r="B85" s="1" t="str">
        <f>IFERROR(__xludf.DUMMYFUNCTION("""COMPUTED_VALUE"""),"Italy")</f>
        <v>Italy</v>
      </c>
      <c r="C85" s="2">
        <f>IFERROR(__xludf.DUMMYFUNCTION("""COMPUTED_VALUE"""),5.8870762E7)</f>
        <v>58870762</v>
      </c>
      <c r="D85" s="2">
        <f>IFERROR(__xludf.DUMMYFUNCTION("""COMPUTED_VALUE"""),294140.0)</f>
        <v>294140</v>
      </c>
      <c r="E85" s="1">
        <f>IFERROR(__xludf.DUMMYFUNCTION("""COMPUTED_VALUE"""),200.0)</f>
        <v>200</v>
      </c>
    </row>
    <row r="86">
      <c r="A86" s="1">
        <f>IFERROR(__xludf.DUMMYFUNCTION("""COMPUTED_VALUE"""),85.0)</f>
        <v>85</v>
      </c>
      <c r="B86" s="1" t="str">
        <f>IFERROR(__xludf.DUMMYFUNCTION("""COMPUTED_VALUE"""),"Jamaica")</f>
        <v>Jamaica</v>
      </c>
      <c r="C86" s="2">
        <f>IFERROR(__xludf.DUMMYFUNCTION("""COMPUTED_VALUE"""),2825544.0)</f>
        <v>2825544</v>
      </c>
      <c r="D86" s="2">
        <f>IFERROR(__xludf.DUMMYFUNCTION("""COMPUTED_VALUE"""),10830.0)</f>
        <v>10830</v>
      </c>
      <c r="E86" s="1">
        <f>IFERROR(__xludf.DUMMYFUNCTION("""COMPUTED_VALUE"""),261.0)</f>
        <v>261</v>
      </c>
    </row>
    <row r="87">
      <c r="A87" s="1">
        <f>IFERROR(__xludf.DUMMYFUNCTION("""COMPUTED_VALUE"""),86.0)</f>
        <v>86</v>
      </c>
      <c r="B87" s="1" t="str">
        <f>IFERROR(__xludf.DUMMYFUNCTION("""COMPUTED_VALUE"""),"Japan")</f>
        <v>Japan</v>
      </c>
      <c r="C87" s="2">
        <f>IFERROR(__xludf.DUMMYFUNCTION("""COMPUTED_VALUE"""),1.23294513E8)</f>
        <v>123294513</v>
      </c>
      <c r="D87" s="2">
        <f>IFERROR(__xludf.DUMMYFUNCTION("""COMPUTED_VALUE"""),364555.0)</f>
        <v>364555</v>
      </c>
      <c r="E87" s="1">
        <f>IFERROR(__xludf.DUMMYFUNCTION("""COMPUTED_VALUE"""),338.0)</f>
        <v>338</v>
      </c>
    </row>
    <row r="88">
      <c r="A88" s="1">
        <f>IFERROR(__xludf.DUMMYFUNCTION("""COMPUTED_VALUE"""),87.0)</f>
        <v>87</v>
      </c>
      <c r="B88" s="1" t="str">
        <f>IFERROR(__xludf.DUMMYFUNCTION("""COMPUTED_VALUE"""),"Jordan")</f>
        <v>Jordan</v>
      </c>
      <c r="C88" s="2">
        <f>IFERROR(__xludf.DUMMYFUNCTION("""COMPUTED_VALUE"""),1.1337052E7)</f>
        <v>11337052</v>
      </c>
      <c r="D88" s="2">
        <f>IFERROR(__xludf.DUMMYFUNCTION("""COMPUTED_VALUE"""),88780.0)</f>
        <v>88780</v>
      </c>
      <c r="E88" s="1">
        <f>IFERROR(__xludf.DUMMYFUNCTION("""COMPUTED_VALUE"""),128.0)</f>
        <v>128</v>
      </c>
    </row>
    <row r="89">
      <c r="A89" s="1">
        <f>IFERROR(__xludf.DUMMYFUNCTION("""COMPUTED_VALUE"""),88.0)</f>
        <v>88</v>
      </c>
      <c r="B89" s="1" t="str">
        <f>IFERROR(__xludf.DUMMYFUNCTION("""COMPUTED_VALUE"""),"Kazakhstan")</f>
        <v>Kazakhstan</v>
      </c>
      <c r="C89" s="2">
        <f>IFERROR(__xludf.DUMMYFUNCTION("""COMPUTED_VALUE"""),1.9606633E7)</f>
        <v>19606633</v>
      </c>
      <c r="D89" s="2">
        <f>IFERROR(__xludf.DUMMYFUNCTION("""COMPUTED_VALUE"""),2699700.0)</f>
        <v>2699700</v>
      </c>
      <c r="E89" s="1">
        <f>IFERROR(__xludf.DUMMYFUNCTION("""COMPUTED_VALUE"""),7.0)</f>
        <v>7</v>
      </c>
    </row>
    <row r="90">
      <c r="A90" s="1">
        <f>IFERROR(__xludf.DUMMYFUNCTION("""COMPUTED_VALUE"""),89.0)</f>
        <v>89</v>
      </c>
      <c r="B90" s="1" t="str">
        <f>IFERROR(__xludf.DUMMYFUNCTION("""COMPUTED_VALUE"""),"Kenya")</f>
        <v>Kenya</v>
      </c>
      <c r="C90" s="2">
        <f>IFERROR(__xludf.DUMMYFUNCTION("""COMPUTED_VALUE"""),5.5100586E7)</f>
        <v>55100586</v>
      </c>
      <c r="D90" s="2">
        <f>IFERROR(__xludf.DUMMYFUNCTION("""COMPUTED_VALUE"""),569140.0)</f>
        <v>569140</v>
      </c>
      <c r="E90" s="1">
        <f>IFERROR(__xludf.DUMMYFUNCTION("""COMPUTED_VALUE"""),97.0)</f>
        <v>97</v>
      </c>
    </row>
    <row r="91">
      <c r="A91" s="1">
        <f>IFERROR(__xludf.DUMMYFUNCTION("""COMPUTED_VALUE"""),90.0)</f>
        <v>90</v>
      </c>
      <c r="B91" s="1" t="str">
        <f>IFERROR(__xludf.DUMMYFUNCTION("""COMPUTED_VALUE"""),"Kiribati")</f>
        <v>Kiribati</v>
      </c>
      <c r="C91" s="2">
        <f>IFERROR(__xludf.DUMMYFUNCTION("""COMPUTED_VALUE"""),133515.0)</f>
        <v>133515</v>
      </c>
      <c r="D91" s="1">
        <f>IFERROR(__xludf.DUMMYFUNCTION("""COMPUTED_VALUE"""),810.0)</f>
        <v>810</v>
      </c>
      <c r="E91" s="1">
        <f>IFERROR(__xludf.DUMMYFUNCTION("""COMPUTED_VALUE"""),165.0)</f>
        <v>165</v>
      </c>
    </row>
    <row r="92">
      <c r="A92" s="1">
        <f>IFERROR(__xludf.DUMMYFUNCTION("""COMPUTED_VALUE"""),91.0)</f>
        <v>91</v>
      </c>
      <c r="B92" s="1" t="str">
        <f>IFERROR(__xludf.DUMMYFUNCTION("""COMPUTED_VALUE"""),"Kuwait")</f>
        <v>Kuwait</v>
      </c>
      <c r="C92" s="2">
        <f>IFERROR(__xludf.DUMMYFUNCTION("""COMPUTED_VALUE"""),4310108.0)</f>
        <v>4310108</v>
      </c>
      <c r="D92" s="2">
        <f>IFERROR(__xludf.DUMMYFUNCTION("""COMPUTED_VALUE"""),17820.0)</f>
        <v>17820</v>
      </c>
      <c r="E92" s="1">
        <f>IFERROR(__xludf.DUMMYFUNCTION("""COMPUTED_VALUE"""),242.0)</f>
        <v>242</v>
      </c>
    </row>
    <row r="93">
      <c r="A93" s="1">
        <f>IFERROR(__xludf.DUMMYFUNCTION("""COMPUTED_VALUE"""),92.0)</f>
        <v>92</v>
      </c>
      <c r="B93" s="1" t="str">
        <f>IFERROR(__xludf.DUMMYFUNCTION("""COMPUTED_VALUE"""),"Kyrgyzstan")</f>
        <v>Kyrgyzstan</v>
      </c>
      <c r="C93" s="2">
        <f>IFERROR(__xludf.DUMMYFUNCTION("""COMPUTED_VALUE"""),6735347.0)</f>
        <v>6735347</v>
      </c>
      <c r="D93" s="2">
        <f>IFERROR(__xludf.DUMMYFUNCTION("""COMPUTED_VALUE"""),191800.0)</f>
        <v>191800</v>
      </c>
      <c r="E93" s="1">
        <f>IFERROR(__xludf.DUMMYFUNCTION("""COMPUTED_VALUE"""),35.0)</f>
        <v>35</v>
      </c>
    </row>
    <row r="94">
      <c r="A94" s="1">
        <f>IFERROR(__xludf.DUMMYFUNCTION("""COMPUTED_VALUE"""),93.0)</f>
        <v>93</v>
      </c>
      <c r="B94" s="1" t="str">
        <f>IFERROR(__xludf.DUMMYFUNCTION("""COMPUTED_VALUE"""),"Laos")</f>
        <v>Laos</v>
      </c>
      <c r="C94" s="2">
        <f>IFERROR(__xludf.DUMMYFUNCTION("""COMPUTED_VALUE"""),7633779.0)</f>
        <v>7633779</v>
      </c>
      <c r="D94" s="2">
        <f>IFERROR(__xludf.DUMMYFUNCTION("""COMPUTED_VALUE"""),230800.0)</f>
        <v>230800</v>
      </c>
      <c r="E94" s="1">
        <f>IFERROR(__xludf.DUMMYFUNCTION("""COMPUTED_VALUE"""),33.0)</f>
        <v>33</v>
      </c>
    </row>
    <row r="95">
      <c r="A95" s="1">
        <f>IFERROR(__xludf.DUMMYFUNCTION("""COMPUTED_VALUE"""),94.0)</f>
        <v>94</v>
      </c>
      <c r="B95" s="1" t="str">
        <f>IFERROR(__xludf.DUMMYFUNCTION("""COMPUTED_VALUE"""),"Latvia")</f>
        <v>Latvia</v>
      </c>
      <c r="C95" s="2">
        <f>IFERROR(__xludf.DUMMYFUNCTION("""COMPUTED_VALUE"""),1830211.0)</f>
        <v>1830211</v>
      </c>
      <c r="D95" s="2">
        <f>IFERROR(__xludf.DUMMYFUNCTION("""COMPUTED_VALUE"""),62200.0)</f>
        <v>62200</v>
      </c>
      <c r="E95" s="1">
        <f>IFERROR(__xludf.DUMMYFUNCTION("""COMPUTED_VALUE"""),29.0)</f>
        <v>29</v>
      </c>
    </row>
    <row r="96">
      <c r="A96" s="1">
        <f>IFERROR(__xludf.DUMMYFUNCTION("""COMPUTED_VALUE"""),95.0)</f>
        <v>95</v>
      </c>
      <c r="B96" s="1" t="str">
        <f>IFERROR(__xludf.DUMMYFUNCTION("""COMPUTED_VALUE"""),"Lebanon")</f>
        <v>Lebanon</v>
      </c>
      <c r="C96" s="2">
        <f>IFERROR(__xludf.DUMMYFUNCTION("""COMPUTED_VALUE"""),5353930.0)</f>
        <v>5353930</v>
      </c>
      <c r="D96" s="2">
        <f>IFERROR(__xludf.DUMMYFUNCTION("""COMPUTED_VALUE"""),10230.0)</f>
        <v>10230</v>
      </c>
      <c r="E96" s="1">
        <f>IFERROR(__xludf.DUMMYFUNCTION("""COMPUTED_VALUE"""),523.0)</f>
        <v>523</v>
      </c>
    </row>
    <row r="97">
      <c r="A97" s="1">
        <f>IFERROR(__xludf.DUMMYFUNCTION("""COMPUTED_VALUE"""),96.0)</f>
        <v>96</v>
      </c>
      <c r="B97" s="1" t="str">
        <f>IFERROR(__xludf.DUMMYFUNCTION("""COMPUTED_VALUE"""),"Lesotho")</f>
        <v>Lesotho</v>
      </c>
      <c r="C97" s="2">
        <f>IFERROR(__xludf.DUMMYFUNCTION("""COMPUTED_VALUE"""),2330318.0)</f>
        <v>2330318</v>
      </c>
      <c r="D97" s="2">
        <f>IFERROR(__xludf.DUMMYFUNCTION("""COMPUTED_VALUE"""),30360.0)</f>
        <v>30360</v>
      </c>
      <c r="E97" s="1">
        <f>IFERROR(__xludf.DUMMYFUNCTION("""COMPUTED_VALUE"""),77.0)</f>
        <v>77</v>
      </c>
    </row>
    <row r="98">
      <c r="A98" s="1">
        <f>IFERROR(__xludf.DUMMYFUNCTION("""COMPUTED_VALUE"""),97.0)</f>
        <v>97</v>
      </c>
      <c r="B98" s="1" t="str">
        <f>IFERROR(__xludf.DUMMYFUNCTION("""COMPUTED_VALUE"""),"Liberia")</f>
        <v>Liberia</v>
      </c>
      <c r="C98" s="2">
        <f>IFERROR(__xludf.DUMMYFUNCTION("""COMPUTED_VALUE"""),5418377.0)</f>
        <v>5418377</v>
      </c>
      <c r="D98" s="2">
        <f>IFERROR(__xludf.DUMMYFUNCTION("""COMPUTED_VALUE"""),96320.0)</f>
        <v>96320</v>
      </c>
      <c r="E98" s="1">
        <f>IFERROR(__xludf.DUMMYFUNCTION("""COMPUTED_VALUE"""),56.0)</f>
        <v>56</v>
      </c>
    </row>
    <row r="99">
      <c r="A99" s="1">
        <f>IFERROR(__xludf.DUMMYFUNCTION("""COMPUTED_VALUE"""),98.0)</f>
        <v>98</v>
      </c>
      <c r="B99" s="1" t="str">
        <f>IFERROR(__xludf.DUMMYFUNCTION("""COMPUTED_VALUE"""),"Libya")</f>
        <v>Libya</v>
      </c>
      <c r="C99" s="2">
        <f>IFERROR(__xludf.DUMMYFUNCTION("""COMPUTED_VALUE"""),6888388.0)</f>
        <v>6888388</v>
      </c>
      <c r="D99" s="2">
        <f>IFERROR(__xludf.DUMMYFUNCTION("""COMPUTED_VALUE"""),1759540.0)</f>
        <v>1759540</v>
      </c>
      <c r="E99" s="1">
        <f>IFERROR(__xludf.DUMMYFUNCTION("""COMPUTED_VALUE"""),4.0)</f>
        <v>4</v>
      </c>
    </row>
    <row r="100">
      <c r="A100" s="1">
        <f>IFERROR(__xludf.DUMMYFUNCTION("""COMPUTED_VALUE"""),99.0)</f>
        <v>99</v>
      </c>
      <c r="B100" s="1" t="str">
        <f>IFERROR(__xludf.DUMMYFUNCTION("""COMPUTED_VALUE"""),"Liechtenstein")</f>
        <v>Liechtenstein</v>
      </c>
      <c r="C100" s="2">
        <f>IFERROR(__xludf.DUMMYFUNCTION("""COMPUTED_VALUE"""),39584.0)</f>
        <v>39584</v>
      </c>
      <c r="D100" s="1">
        <f>IFERROR(__xludf.DUMMYFUNCTION("""COMPUTED_VALUE"""),160.0)</f>
        <v>160</v>
      </c>
      <c r="E100" s="1">
        <f>IFERROR(__xludf.DUMMYFUNCTION("""COMPUTED_VALUE"""),247.0)</f>
        <v>247</v>
      </c>
    </row>
    <row r="101">
      <c r="A101" s="1">
        <f>IFERROR(__xludf.DUMMYFUNCTION("""COMPUTED_VALUE"""),100.0)</f>
        <v>100</v>
      </c>
      <c r="B101" s="1" t="str">
        <f>IFERROR(__xludf.DUMMYFUNCTION("""COMPUTED_VALUE"""),"Lithuania")</f>
        <v>Lithuania</v>
      </c>
      <c r="C101" s="2">
        <f>IFERROR(__xludf.DUMMYFUNCTION("""COMPUTED_VALUE"""),2718352.0)</f>
        <v>2718352</v>
      </c>
      <c r="D101" s="2">
        <f>IFERROR(__xludf.DUMMYFUNCTION("""COMPUTED_VALUE"""),62674.0)</f>
        <v>62674</v>
      </c>
      <c r="E101" s="1">
        <f>IFERROR(__xludf.DUMMYFUNCTION("""COMPUTED_VALUE"""),43.0)</f>
        <v>43</v>
      </c>
    </row>
    <row r="102">
      <c r="A102" s="1">
        <f>IFERROR(__xludf.DUMMYFUNCTION("""COMPUTED_VALUE"""),101.0)</f>
        <v>101</v>
      </c>
      <c r="B102" s="1" t="str">
        <f>IFERROR(__xludf.DUMMYFUNCTION("""COMPUTED_VALUE"""),"Luxembourg")</f>
        <v>Luxembourg</v>
      </c>
      <c r="C102" s="2">
        <f>IFERROR(__xludf.DUMMYFUNCTION("""COMPUTED_VALUE"""),654768.0)</f>
        <v>654768</v>
      </c>
      <c r="D102" s="2">
        <f>IFERROR(__xludf.DUMMYFUNCTION("""COMPUTED_VALUE"""),2590.0)</f>
        <v>2590</v>
      </c>
      <c r="E102" s="1">
        <f>IFERROR(__xludf.DUMMYFUNCTION("""COMPUTED_VALUE"""),253.0)</f>
        <v>253</v>
      </c>
    </row>
    <row r="103">
      <c r="A103" s="1">
        <f>IFERROR(__xludf.DUMMYFUNCTION("""COMPUTED_VALUE"""),102.0)</f>
        <v>102</v>
      </c>
      <c r="B103" s="1" t="str">
        <f>IFERROR(__xludf.DUMMYFUNCTION("""COMPUTED_VALUE"""),"Madagascar")</f>
        <v>Madagascar</v>
      </c>
      <c r="C103" s="2">
        <f>IFERROR(__xludf.DUMMYFUNCTION("""COMPUTED_VALUE"""),3.0325732E7)</f>
        <v>30325732</v>
      </c>
      <c r="D103" s="2">
        <f>IFERROR(__xludf.DUMMYFUNCTION("""COMPUTED_VALUE"""),581795.0)</f>
        <v>581795</v>
      </c>
      <c r="E103" s="1">
        <f>IFERROR(__xludf.DUMMYFUNCTION("""COMPUTED_VALUE"""),52.0)</f>
        <v>52</v>
      </c>
    </row>
    <row r="104">
      <c r="A104" s="1">
        <f>IFERROR(__xludf.DUMMYFUNCTION("""COMPUTED_VALUE"""),103.0)</f>
        <v>103</v>
      </c>
      <c r="B104" s="1" t="str">
        <f>IFERROR(__xludf.DUMMYFUNCTION("""COMPUTED_VALUE"""),"Malawi")</f>
        <v>Malawi</v>
      </c>
      <c r="C104" s="2">
        <f>IFERROR(__xludf.DUMMYFUNCTION("""COMPUTED_VALUE"""),2.0931751E7)</f>
        <v>20931751</v>
      </c>
      <c r="D104" s="2">
        <f>IFERROR(__xludf.DUMMYFUNCTION("""COMPUTED_VALUE"""),94280.0)</f>
        <v>94280</v>
      </c>
      <c r="E104" s="1">
        <f>IFERROR(__xludf.DUMMYFUNCTION("""COMPUTED_VALUE"""),222.0)</f>
        <v>222</v>
      </c>
    </row>
    <row r="105">
      <c r="A105" s="1">
        <f>IFERROR(__xludf.DUMMYFUNCTION("""COMPUTED_VALUE"""),104.0)</f>
        <v>104</v>
      </c>
      <c r="B105" s="1" t="str">
        <f>IFERROR(__xludf.DUMMYFUNCTION("""COMPUTED_VALUE"""),"Malaysia")</f>
        <v>Malaysia</v>
      </c>
      <c r="C105" s="2">
        <f>IFERROR(__xludf.DUMMYFUNCTION("""COMPUTED_VALUE"""),3.4308525E7)</f>
        <v>34308525</v>
      </c>
      <c r="D105" s="2">
        <f>IFERROR(__xludf.DUMMYFUNCTION("""COMPUTED_VALUE"""),328550.0)</f>
        <v>328550</v>
      </c>
      <c r="E105" s="1">
        <f>IFERROR(__xludf.DUMMYFUNCTION("""COMPUTED_VALUE"""),104.0)</f>
        <v>104</v>
      </c>
    </row>
    <row r="106">
      <c r="A106" s="1">
        <f>IFERROR(__xludf.DUMMYFUNCTION("""COMPUTED_VALUE"""),105.0)</f>
        <v>105</v>
      </c>
      <c r="B106" s="1" t="str">
        <f>IFERROR(__xludf.DUMMYFUNCTION("""COMPUTED_VALUE"""),"Maldives")</f>
        <v>Maldives</v>
      </c>
      <c r="C106" s="2">
        <f>IFERROR(__xludf.DUMMYFUNCTION("""COMPUTED_VALUE"""),521021.0)</f>
        <v>521021</v>
      </c>
      <c r="D106" s="1">
        <f>IFERROR(__xludf.DUMMYFUNCTION("""COMPUTED_VALUE"""),300.0)</f>
        <v>300</v>
      </c>
      <c r="E106" s="2">
        <f>IFERROR(__xludf.DUMMYFUNCTION("""COMPUTED_VALUE"""),1737.0)</f>
        <v>1737</v>
      </c>
    </row>
    <row r="107">
      <c r="A107" s="1">
        <f>IFERROR(__xludf.DUMMYFUNCTION("""COMPUTED_VALUE"""),106.0)</f>
        <v>106</v>
      </c>
      <c r="B107" s="1" t="str">
        <f>IFERROR(__xludf.DUMMYFUNCTION("""COMPUTED_VALUE"""),"Mali")</f>
        <v>Mali</v>
      </c>
      <c r="C107" s="2">
        <f>IFERROR(__xludf.DUMMYFUNCTION("""COMPUTED_VALUE"""),2.3293698E7)</f>
        <v>23293698</v>
      </c>
      <c r="D107" s="2">
        <f>IFERROR(__xludf.DUMMYFUNCTION("""COMPUTED_VALUE"""),1220190.0)</f>
        <v>1220190</v>
      </c>
      <c r="E107" s="1">
        <f>IFERROR(__xludf.DUMMYFUNCTION("""COMPUTED_VALUE"""),19.0)</f>
        <v>19</v>
      </c>
    </row>
    <row r="108">
      <c r="A108" s="1">
        <f>IFERROR(__xludf.DUMMYFUNCTION("""COMPUTED_VALUE"""),107.0)</f>
        <v>107</v>
      </c>
      <c r="B108" s="1" t="str">
        <f>IFERROR(__xludf.DUMMYFUNCTION("""COMPUTED_VALUE"""),"Malta")</f>
        <v>Malta</v>
      </c>
      <c r="C108" s="2">
        <f>IFERROR(__xludf.DUMMYFUNCTION("""COMPUTED_VALUE"""),535064.0)</f>
        <v>535064</v>
      </c>
      <c r="D108" s="1">
        <f>IFERROR(__xludf.DUMMYFUNCTION("""COMPUTED_VALUE"""),320.0)</f>
        <v>320</v>
      </c>
      <c r="E108" s="2">
        <f>IFERROR(__xludf.DUMMYFUNCTION("""COMPUTED_VALUE"""),1672.0)</f>
        <v>1672</v>
      </c>
    </row>
    <row r="109">
      <c r="A109" s="1">
        <f>IFERROR(__xludf.DUMMYFUNCTION("""COMPUTED_VALUE"""),108.0)</f>
        <v>108</v>
      </c>
      <c r="B109" s="1" t="str">
        <f>IFERROR(__xludf.DUMMYFUNCTION("""COMPUTED_VALUE"""),"Marshall Islands")</f>
        <v>Marshall Islands</v>
      </c>
      <c r="C109" s="2">
        <f>IFERROR(__xludf.DUMMYFUNCTION("""COMPUTED_VALUE"""),41996.0)</f>
        <v>41996</v>
      </c>
      <c r="D109" s="1">
        <f>IFERROR(__xludf.DUMMYFUNCTION("""COMPUTED_VALUE"""),180.0)</f>
        <v>180</v>
      </c>
      <c r="E109" s="1">
        <f>IFERROR(__xludf.DUMMYFUNCTION("""COMPUTED_VALUE"""),233.0)</f>
        <v>233</v>
      </c>
    </row>
    <row r="110">
      <c r="A110" s="1">
        <f>IFERROR(__xludf.DUMMYFUNCTION("""COMPUTED_VALUE"""),109.0)</f>
        <v>109</v>
      </c>
      <c r="B110" s="1" t="str">
        <f>IFERROR(__xludf.DUMMYFUNCTION("""COMPUTED_VALUE"""),"Mauritania")</f>
        <v>Mauritania</v>
      </c>
      <c r="C110" s="2">
        <f>IFERROR(__xludf.DUMMYFUNCTION("""COMPUTED_VALUE"""),4862989.0)</f>
        <v>4862989</v>
      </c>
      <c r="D110" s="2">
        <f>IFERROR(__xludf.DUMMYFUNCTION("""COMPUTED_VALUE"""),1030700.0)</f>
        <v>1030700</v>
      </c>
      <c r="E110" s="1">
        <f>IFERROR(__xludf.DUMMYFUNCTION("""COMPUTED_VALUE"""),5.0)</f>
        <v>5</v>
      </c>
    </row>
    <row r="111">
      <c r="A111" s="1">
        <f>IFERROR(__xludf.DUMMYFUNCTION("""COMPUTED_VALUE"""),110.0)</f>
        <v>110</v>
      </c>
      <c r="B111" s="1" t="str">
        <f>IFERROR(__xludf.DUMMYFUNCTION("""COMPUTED_VALUE"""),"Mauritius")</f>
        <v>Mauritius</v>
      </c>
      <c r="C111" s="2">
        <f>IFERROR(__xludf.DUMMYFUNCTION("""COMPUTED_VALUE"""),1300557.0)</f>
        <v>1300557</v>
      </c>
      <c r="D111" s="2">
        <f>IFERROR(__xludf.DUMMYFUNCTION("""COMPUTED_VALUE"""),2030.0)</f>
        <v>2030</v>
      </c>
      <c r="E111" s="1">
        <f>IFERROR(__xludf.DUMMYFUNCTION("""COMPUTED_VALUE"""),641.0)</f>
        <v>641</v>
      </c>
    </row>
    <row r="112">
      <c r="A112" s="1">
        <f>IFERROR(__xludf.DUMMYFUNCTION("""COMPUTED_VALUE"""),111.0)</f>
        <v>111</v>
      </c>
      <c r="B112" s="1" t="str">
        <f>IFERROR(__xludf.DUMMYFUNCTION("""COMPUTED_VALUE"""),"Mexico")</f>
        <v>Mexico</v>
      </c>
      <c r="C112" s="2">
        <f>IFERROR(__xludf.DUMMYFUNCTION("""COMPUTED_VALUE"""),1.28455567E8)</f>
        <v>128455567</v>
      </c>
      <c r="D112" s="2">
        <f>IFERROR(__xludf.DUMMYFUNCTION("""COMPUTED_VALUE"""),1943950.0)</f>
        <v>1943950</v>
      </c>
      <c r="E112" s="1">
        <f>IFERROR(__xludf.DUMMYFUNCTION("""COMPUTED_VALUE"""),66.0)</f>
        <v>66</v>
      </c>
    </row>
    <row r="113">
      <c r="A113" s="1">
        <f>IFERROR(__xludf.DUMMYFUNCTION("""COMPUTED_VALUE"""),112.0)</f>
        <v>112</v>
      </c>
      <c r="B113" s="1" t="str">
        <f>IFERROR(__xludf.DUMMYFUNCTION("""COMPUTED_VALUE"""),"Micronesia")</f>
        <v>Micronesia</v>
      </c>
      <c r="C113" s="2">
        <f>IFERROR(__xludf.DUMMYFUNCTION("""COMPUTED_VALUE"""),544321.0)</f>
        <v>544321</v>
      </c>
      <c r="D113" s="1">
        <f>IFERROR(__xludf.DUMMYFUNCTION("""COMPUTED_VALUE"""),700.0)</f>
        <v>700</v>
      </c>
      <c r="E113" s="1">
        <f>IFERROR(__xludf.DUMMYFUNCTION("""COMPUTED_VALUE"""),778.0)</f>
        <v>778</v>
      </c>
    </row>
    <row r="114">
      <c r="A114" s="1">
        <f>IFERROR(__xludf.DUMMYFUNCTION("""COMPUTED_VALUE"""),113.0)</f>
        <v>113</v>
      </c>
      <c r="B114" s="1" t="str">
        <f>IFERROR(__xludf.DUMMYFUNCTION("""COMPUTED_VALUE"""),"Moldova")</f>
        <v>Moldova</v>
      </c>
      <c r="C114" s="2">
        <f>IFERROR(__xludf.DUMMYFUNCTION("""COMPUTED_VALUE"""),3435931.0)</f>
        <v>3435931</v>
      </c>
      <c r="D114" s="2">
        <f>IFERROR(__xludf.DUMMYFUNCTION("""COMPUTED_VALUE"""),32850.0)</f>
        <v>32850</v>
      </c>
      <c r="E114" s="1">
        <f>IFERROR(__xludf.DUMMYFUNCTION("""COMPUTED_VALUE"""),105.0)</f>
        <v>105</v>
      </c>
    </row>
    <row r="115">
      <c r="A115" s="1">
        <f>IFERROR(__xludf.DUMMYFUNCTION("""COMPUTED_VALUE"""),114.0)</f>
        <v>114</v>
      </c>
      <c r="B115" s="1" t="str">
        <f>IFERROR(__xludf.DUMMYFUNCTION("""COMPUTED_VALUE"""),"Monaco")</f>
        <v>Monaco</v>
      </c>
      <c r="C115" s="2">
        <f>IFERROR(__xludf.DUMMYFUNCTION("""COMPUTED_VALUE"""),36297.0)</f>
        <v>36297</v>
      </c>
      <c r="D115" s="1">
        <f>IFERROR(__xludf.DUMMYFUNCTION("""COMPUTED_VALUE"""),1.0)</f>
        <v>1</v>
      </c>
      <c r="E115" s="2">
        <f>IFERROR(__xludf.DUMMYFUNCTION("""COMPUTED_VALUE"""),24360.0)</f>
        <v>24360</v>
      </c>
    </row>
    <row r="116">
      <c r="A116" s="1">
        <f>IFERROR(__xludf.DUMMYFUNCTION("""COMPUTED_VALUE"""),115.0)</f>
        <v>115</v>
      </c>
      <c r="B116" s="1" t="str">
        <f>IFERROR(__xludf.DUMMYFUNCTION("""COMPUTED_VALUE"""),"Mongolia")</f>
        <v>Mongolia</v>
      </c>
      <c r="C116" s="2">
        <f>IFERROR(__xludf.DUMMYFUNCTION("""COMPUTED_VALUE"""),3447157.0)</f>
        <v>3447157</v>
      </c>
      <c r="D116" s="2">
        <f>IFERROR(__xludf.DUMMYFUNCTION("""COMPUTED_VALUE"""),1553560.0)</f>
        <v>1553560</v>
      </c>
      <c r="E116" s="1">
        <f>IFERROR(__xludf.DUMMYFUNCTION("""COMPUTED_VALUE"""),2.0)</f>
        <v>2</v>
      </c>
    </row>
    <row r="117">
      <c r="A117" s="1">
        <f>IFERROR(__xludf.DUMMYFUNCTION("""COMPUTED_VALUE"""),116.0)</f>
        <v>116</v>
      </c>
      <c r="B117" s="1" t="str">
        <f>IFERROR(__xludf.DUMMYFUNCTION("""COMPUTED_VALUE"""),"Montenegro")</f>
        <v>Montenegro</v>
      </c>
      <c r="C117" s="2">
        <f>IFERROR(__xludf.DUMMYFUNCTION("""COMPUTED_VALUE"""),626485.0)</f>
        <v>626485</v>
      </c>
      <c r="D117" s="2">
        <f>IFERROR(__xludf.DUMMYFUNCTION("""COMPUTED_VALUE"""),13450.0)</f>
        <v>13450</v>
      </c>
      <c r="E117" s="1">
        <f>IFERROR(__xludf.DUMMYFUNCTION("""COMPUTED_VALUE"""),47.0)</f>
        <v>47</v>
      </c>
    </row>
    <row r="118">
      <c r="A118" s="1">
        <f>IFERROR(__xludf.DUMMYFUNCTION("""COMPUTED_VALUE"""),117.0)</f>
        <v>117</v>
      </c>
      <c r="B118" s="1" t="str">
        <f>IFERROR(__xludf.DUMMYFUNCTION("""COMPUTED_VALUE"""),"Morocco")</f>
        <v>Morocco</v>
      </c>
      <c r="C118" s="2">
        <f>IFERROR(__xludf.DUMMYFUNCTION("""COMPUTED_VALUE"""),3.7840044E7)</f>
        <v>37840044</v>
      </c>
      <c r="D118" s="2">
        <f>IFERROR(__xludf.DUMMYFUNCTION("""COMPUTED_VALUE"""),446300.0)</f>
        <v>446300</v>
      </c>
      <c r="E118" s="1">
        <f>IFERROR(__xludf.DUMMYFUNCTION("""COMPUTED_VALUE"""),85.0)</f>
        <v>85</v>
      </c>
    </row>
    <row r="119">
      <c r="A119" s="1">
        <f>IFERROR(__xludf.DUMMYFUNCTION("""COMPUTED_VALUE"""),118.0)</f>
        <v>118</v>
      </c>
      <c r="B119" s="1" t="str">
        <f>IFERROR(__xludf.DUMMYFUNCTION("""COMPUTED_VALUE"""),"Mozambique")</f>
        <v>Mozambique</v>
      </c>
      <c r="C119" s="2">
        <f>IFERROR(__xludf.DUMMYFUNCTION("""COMPUTED_VALUE"""),3.3897354E7)</f>
        <v>33897354</v>
      </c>
      <c r="D119" s="2">
        <f>IFERROR(__xludf.DUMMYFUNCTION("""COMPUTED_VALUE"""),786380.0)</f>
        <v>786380</v>
      </c>
      <c r="E119" s="1">
        <f>IFERROR(__xludf.DUMMYFUNCTION("""COMPUTED_VALUE"""),43.0)</f>
        <v>43</v>
      </c>
    </row>
    <row r="120">
      <c r="A120" s="1">
        <f>IFERROR(__xludf.DUMMYFUNCTION("""COMPUTED_VALUE"""),119.0)</f>
        <v>119</v>
      </c>
      <c r="B120" s="1" t="str">
        <f>IFERROR(__xludf.DUMMYFUNCTION("""COMPUTED_VALUE"""),"Myanmar (formerly Burma)")</f>
        <v>Myanmar (formerly Burma)</v>
      </c>
      <c r="C120" s="2">
        <f>IFERROR(__xludf.DUMMYFUNCTION("""COMPUTED_VALUE"""),5.4577997E7)</f>
        <v>54577997</v>
      </c>
      <c r="D120" s="2">
        <f>IFERROR(__xludf.DUMMYFUNCTION("""COMPUTED_VALUE"""),653290.0)</f>
        <v>653290</v>
      </c>
      <c r="E120" s="1">
        <f>IFERROR(__xludf.DUMMYFUNCTION("""COMPUTED_VALUE"""),84.0)</f>
        <v>84</v>
      </c>
    </row>
    <row r="121">
      <c r="A121" s="1">
        <f>IFERROR(__xludf.DUMMYFUNCTION("""COMPUTED_VALUE"""),120.0)</f>
        <v>120</v>
      </c>
      <c r="B121" s="1" t="str">
        <f>IFERROR(__xludf.DUMMYFUNCTION("""COMPUTED_VALUE"""),"Namibia")</f>
        <v>Namibia</v>
      </c>
      <c r="C121" s="2">
        <f>IFERROR(__xludf.DUMMYFUNCTION("""COMPUTED_VALUE"""),2604172.0)</f>
        <v>2604172</v>
      </c>
      <c r="D121" s="2">
        <f>IFERROR(__xludf.DUMMYFUNCTION("""COMPUTED_VALUE"""),823290.0)</f>
        <v>823290</v>
      </c>
      <c r="E121" s="1">
        <f>IFERROR(__xludf.DUMMYFUNCTION("""COMPUTED_VALUE"""),3.0)</f>
        <v>3</v>
      </c>
    </row>
    <row r="122">
      <c r="A122" s="1">
        <f>IFERROR(__xludf.DUMMYFUNCTION("""COMPUTED_VALUE"""),121.0)</f>
        <v>121</v>
      </c>
      <c r="B122" s="1" t="str">
        <f>IFERROR(__xludf.DUMMYFUNCTION("""COMPUTED_VALUE"""),"Nauru")</f>
        <v>Nauru</v>
      </c>
      <c r="C122" s="2">
        <f>IFERROR(__xludf.DUMMYFUNCTION("""COMPUTED_VALUE"""),12780.0)</f>
        <v>12780</v>
      </c>
      <c r="D122" s="1">
        <f>IFERROR(__xludf.DUMMYFUNCTION("""COMPUTED_VALUE"""),20.0)</f>
        <v>20</v>
      </c>
      <c r="E122" s="1">
        <f>IFERROR(__xludf.DUMMYFUNCTION("""COMPUTED_VALUE"""),639.0)</f>
        <v>639</v>
      </c>
    </row>
    <row r="123">
      <c r="A123" s="1">
        <f>IFERROR(__xludf.DUMMYFUNCTION("""COMPUTED_VALUE"""),122.0)</f>
        <v>122</v>
      </c>
      <c r="B123" s="1" t="str">
        <f>IFERROR(__xludf.DUMMYFUNCTION("""COMPUTED_VALUE"""),"Nepal")</f>
        <v>Nepal</v>
      </c>
      <c r="C123" s="2">
        <f>IFERROR(__xludf.DUMMYFUNCTION("""COMPUTED_VALUE"""),3.089659E7)</f>
        <v>30896590</v>
      </c>
      <c r="D123" s="2">
        <f>IFERROR(__xludf.DUMMYFUNCTION("""COMPUTED_VALUE"""),143350.0)</f>
        <v>143350</v>
      </c>
      <c r="E123" s="1">
        <f>IFERROR(__xludf.DUMMYFUNCTION("""COMPUTED_VALUE"""),216.0)</f>
        <v>216</v>
      </c>
    </row>
    <row r="124">
      <c r="A124" s="1">
        <f>IFERROR(__xludf.DUMMYFUNCTION("""COMPUTED_VALUE"""),123.0)</f>
        <v>123</v>
      </c>
      <c r="B124" s="1" t="str">
        <f>IFERROR(__xludf.DUMMYFUNCTION("""COMPUTED_VALUE"""),"Netherlands")</f>
        <v>Netherlands</v>
      </c>
      <c r="C124" s="2">
        <f>IFERROR(__xludf.DUMMYFUNCTION("""COMPUTED_VALUE"""),1.7618299E7)</f>
        <v>17618299</v>
      </c>
      <c r="D124" s="2">
        <f>IFERROR(__xludf.DUMMYFUNCTION("""COMPUTED_VALUE"""),33720.0)</f>
        <v>33720</v>
      </c>
      <c r="E124" s="1">
        <f>IFERROR(__xludf.DUMMYFUNCTION("""COMPUTED_VALUE"""),522.0)</f>
        <v>522</v>
      </c>
    </row>
    <row r="125">
      <c r="A125" s="1">
        <f>IFERROR(__xludf.DUMMYFUNCTION("""COMPUTED_VALUE"""),124.0)</f>
        <v>124</v>
      </c>
      <c r="B125" s="1" t="str">
        <f>IFERROR(__xludf.DUMMYFUNCTION("""COMPUTED_VALUE"""),"New Zealand")</f>
        <v>New Zealand</v>
      </c>
      <c r="C125" s="2">
        <f>IFERROR(__xludf.DUMMYFUNCTION("""COMPUTED_VALUE"""),5228100.0)</f>
        <v>5228100</v>
      </c>
      <c r="D125" s="2">
        <f>IFERROR(__xludf.DUMMYFUNCTION("""COMPUTED_VALUE"""),263310.0)</f>
        <v>263310</v>
      </c>
      <c r="E125" s="1">
        <f>IFERROR(__xludf.DUMMYFUNCTION("""COMPUTED_VALUE"""),20.0)</f>
        <v>20</v>
      </c>
    </row>
    <row r="126">
      <c r="A126" s="1">
        <f>IFERROR(__xludf.DUMMYFUNCTION("""COMPUTED_VALUE"""),125.0)</f>
        <v>125</v>
      </c>
      <c r="B126" s="1" t="str">
        <f>IFERROR(__xludf.DUMMYFUNCTION("""COMPUTED_VALUE"""),"Nicaragua")</f>
        <v>Nicaragua</v>
      </c>
      <c r="C126" s="2">
        <f>IFERROR(__xludf.DUMMYFUNCTION("""COMPUTED_VALUE"""),7046310.0)</f>
        <v>7046310</v>
      </c>
      <c r="D126" s="2">
        <f>IFERROR(__xludf.DUMMYFUNCTION("""COMPUTED_VALUE"""),120340.0)</f>
        <v>120340</v>
      </c>
      <c r="E126" s="1">
        <f>IFERROR(__xludf.DUMMYFUNCTION("""COMPUTED_VALUE"""),59.0)</f>
        <v>59</v>
      </c>
    </row>
    <row r="127">
      <c r="A127" s="1">
        <f>IFERROR(__xludf.DUMMYFUNCTION("""COMPUTED_VALUE"""),126.0)</f>
        <v>126</v>
      </c>
      <c r="B127" s="1" t="str">
        <f>IFERROR(__xludf.DUMMYFUNCTION("""COMPUTED_VALUE"""),"Niger")</f>
        <v>Niger</v>
      </c>
      <c r="C127" s="2">
        <f>IFERROR(__xludf.DUMMYFUNCTION("""COMPUTED_VALUE"""),2.7202843E7)</f>
        <v>27202843</v>
      </c>
      <c r="D127" s="2">
        <f>IFERROR(__xludf.DUMMYFUNCTION("""COMPUTED_VALUE"""),1266700.0)</f>
        <v>1266700</v>
      </c>
      <c r="E127" s="1">
        <f>IFERROR(__xludf.DUMMYFUNCTION("""COMPUTED_VALUE"""),21.0)</f>
        <v>21</v>
      </c>
    </row>
    <row r="128">
      <c r="A128" s="1">
        <f>IFERROR(__xludf.DUMMYFUNCTION("""COMPUTED_VALUE"""),127.0)</f>
        <v>127</v>
      </c>
      <c r="B128" s="1" t="str">
        <f>IFERROR(__xludf.DUMMYFUNCTION("""COMPUTED_VALUE"""),"Nigeria")</f>
        <v>Nigeria</v>
      </c>
      <c r="C128" s="2">
        <f>IFERROR(__xludf.DUMMYFUNCTION("""COMPUTED_VALUE"""),2.23804632E8)</f>
        <v>223804632</v>
      </c>
      <c r="D128" s="2">
        <f>IFERROR(__xludf.DUMMYFUNCTION("""COMPUTED_VALUE"""),910770.0)</f>
        <v>910770</v>
      </c>
      <c r="E128" s="1">
        <f>IFERROR(__xludf.DUMMYFUNCTION("""COMPUTED_VALUE"""),246.0)</f>
        <v>246</v>
      </c>
    </row>
    <row r="129">
      <c r="A129" s="1">
        <f>IFERROR(__xludf.DUMMYFUNCTION("""COMPUTED_VALUE"""),128.0)</f>
        <v>128</v>
      </c>
      <c r="B129" s="1" t="str">
        <f>IFERROR(__xludf.DUMMYFUNCTION("""COMPUTED_VALUE"""),"North Korea")</f>
        <v>North Korea</v>
      </c>
      <c r="C129" s="2">
        <f>IFERROR(__xludf.DUMMYFUNCTION("""COMPUTED_VALUE"""),2.6160821E7)</f>
        <v>26160821</v>
      </c>
      <c r="D129" s="2">
        <f>IFERROR(__xludf.DUMMYFUNCTION("""COMPUTED_VALUE"""),120410.0)</f>
        <v>120410</v>
      </c>
      <c r="E129" s="1">
        <f>IFERROR(__xludf.DUMMYFUNCTION("""COMPUTED_VALUE"""),217.0)</f>
        <v>217</v>
      </c>
    </row>
    <row r="130">
      <c r="A130" s="1">
        <f>IFERROR(__xludf.DUMMYFUNCTION("""COMPUTED_VALUE"""),129.0)</f>
        <v>129</v>
      </c>
      <c r="B130" s="1" t="str">
        <f>IFERROR(__xludf.DUMMYFUNCTION("""COMPUTED_VALUE"""),"North Macedonia")</f>
        <v>North Macedonia</v>
      </c>
      <c r="C130" s="2">
        <f>IFERROR(__xludf.DUMMYFUNCTION("""COMPUTED_VALUE"""),2085679.0)</f>
        <v>2085679</v>
      </c>
      <c r="D130" s="2">
        <f>IFERROR(__xludf.DUMMYFUNCTION("""COMPUTED_VALUE"""),25220.0)</f>
        <v>25220</v>
      </c>
      <c r="E130" s="1">
        <f>IFERROR(__xludf.DUMMYFUNCTION("""COMPUTED_VALUE"""),83.0)</f>
        <v>83</v>
      </c>
    </row>
    <row r="131">
      <c r="A131" s="1">
        <f>IFERROR(__xludf.DUMMYFUNCTION("""COMPUTED_VALUE"""),130.0)</f>
        <v>130</v>
      </c>
      <c r="B131" s="1" t="str">
        <f>IFERROR(__xludf.DUMMYFUNCTION("""COMPUTED_VALUE"""),"Norway")</f>
        <v>Norway</v>
      </c>
      <c r="C131" s="2">
        <f>IFERROR(__xludf.DUMMYFUNCTION("""COMPUTED_VALUE"""),5474360.0)</f>
        <v>5474360</v>
      </c>
      <c r="D131" s="2">
        <f>IFERROR(__xludf.DUMMYFUNCTION("""COMPUTED_VALUE"""),365268.0)</f>
        <v>365268</v>
      </c>
      <c r="E131" s="1">
        <f>IFERROR(__xludf.DUMMYFUNCTION("""COMPUTED_VALUE"""),15.0)</f>
        <v>15</v>
      </c>
    </row>
    <row r="132">
      <c r="A132" s="1">
        <f>IFERROR(__xludf.DUMMYFUNCTION("""COMPUTED_VALUE"""),131.0)</f>
        <v>131</v>
      </c>
      <c r="B132" s="1" t="str">
        <f>IFERROR(__xludf.DUMMYFUNCTION("""COMPUTED_VALUE"""),"Oman")</f>
        <v>Oman</v>
      </c>
      <c r="C132" s="2">
        <f>IFERROR(__xludf.DUMMYFUNCTION("""COMPUTED_VALUE"""),4644384.0)</f>
        <v>4644384</v>
      </c>
      <c r="D132" s="2">
        <f>IFERROR(__xludf.DUMMYFUNCTION("""COMPUTED_VALUE"""),309500.0)</f>
        <v>309500</v>
      </c>
      <c r="E132" s="1">
        <f>IFERROR(__xludf.DUMMYFUNCTION("""COMPUTED_VALUE"""),15.0)</f>
        <v>15</v>
      </c>
    </row>
    <row r="133">
      <c r="A133" s="1">
        <f>IFERROR(__xludf.DUMMYFUNCTION("""COMPUTED_VALUE"""),132.0)</f>
        <v>132</v>
      </c>
      <c r="B133" s="1" t="str">
        <f>IFERROR(__xludf.DUMMYFUNCTION("""COMPUTED_VALUE"""),"Pakistan")</f>
        <v>Pakistan</v>
      </c>
      <c r="C133" s="2">
        <f>IFERROR(__xludf.DUMMYFUNCTION("""COMPUTED_VALUE"""),2.40485658E8)</f>
        <v>240485658</v>
      </c>
      <c r="D133" s="2">
        <f>IFERROR(__xludf.DUMMYFUNCTION("""COMPUTED_VALUE"""),770880.0)</f>
        <v>770880</v>
      </c>
      <c r="E133" s="1">
        <f>IFERROR(__xludf.DUMMYFUNCTION("""COMPUTED_VALUE"""),312.0)</f>
        <v>312</v>
      </c>
    </row>
    <row r="134">
      <c r="A134" s="1">
        <f>IFERROR(__xludf.DUMMYFUNCTION("""COMPUTED_VALUE"""),133.0)</f>
        <v>133</v>
      </c>
      <c r="B134" s="1" t="str">
        <f>IFERROR(__xludf.DUMMYFUNCTION("""COMPUTED_VALUE"""),"Palau")</f>
        <v>Palau</v>
      </c>
      <c r="C134" s="2">
        <f>IFERROR(__xludf.DUMMYFUNCTION("""COMPUTED_VALUE"""),18058.0)</f>
        <v>18058</v>
      </c>
      <c r="D134" s="1">
        <f>IFERROR(__xludf.DUMMYFUNCTION("""COMPUTED_VALUE"""),460.0)</f>
        <v>460</v>
      </c>
      <c r="E134" s="1">
        <f>IFERROR(__xludf.DUMMYFUNCTION("""COMPUTED_VALUE"""),39.0)</f>
        <v>39</v>
      </c>
    </row>
    <row r="135">
      <c r="A135" s="1">
        <f>IFERROR(__xludf.DUMMYFUNCTION("""COMPUTED_VALUE"""),134.0)</f>
        <v>134</v>
      </c>
      <c r="B135" s="1" t="str">
        <f>IFERROR(__xludf.DUMMYFUNCTION("""COMPUTED_VALUE"""),"Palestine State")</f>
        <v>Palestine State</v>
      </c>
      <c r="C135" s="2">
        <f>IFERROR(__xludf.DUMMYFUNCTION("""COMPUTED_VALUE"""),5371230.0)</f>
        <v>5371230</v>
      </c>
      <c r="D135" s="2">
        <f>IFERROR(__xludf.DUMMYFUNCTION("""COMPUTED_VALUE"""),6020.0)</f>
        <v>6020</v>
      </c>
      <c r="E135" s="1">
        <f>IFERROR(__xludf.DUMMYFUNCTION("""COMPUTED_VALUE"""),892.0)</f>
        <v>892</v>
      </c>
    </row>
    <row r="136">
      <c r="A136" s="1">
        <f>IFERROR(__xludf.DUMMYFUNCTION("""COMPUTED_VALUE"""),135.0)</f>
        <v>135</v>
      </c>
      <c r="B136" s="1" t="str">
        <f>IFERROR(__xludf.DUMMYFUNCTION("""COMPUTED_VALUE"""),"Panama")</f>
        <v>Panama</v>
      </c>
      <c r="C136" s="2">
        <f>IFERROR(__xludf.DUMMYFUNCTION("""COMPUTED_VALUE"""),4468087.0)</f>
        <v>4468087</v>
      </c>
      <c r="D136" s="2">
        <f>IFERROR(__xludf.DUMMYFUNCTION("""COMPUTED_VALUE"""),74340.0)</f>
        <v>74340</v>
      </c>
      <c r="E136" s="1">
        <f>IFERROR(__xludf.DUMMYFUNCTION("""COMPUTED_VALUE"""),60.0)</f>
        <v>60</v>
      </c>
    </row>
    <row r="137">
      <c r="A137" s="1">
        <f>IFERROR(__xludf.DUMMYFUNCTION("""COMPUTED_VALUE"""),136.0)</f>
        <v>136</v>
      </c>
      <c r="B137" s="1" t="str">
        <f>IFERROR(__xludf.DUMMYFUNCTION("""COMPUTED_VALUE"""),"Papua New Guinea")</f>
        <v>Papua New Guinea</v>
      </c>
      <c r="C137" s="2">
        <f>IFERROR(__xludf.DUMMYFUNCTION("""COMPUTED_VALUE"""),1.0329931E7)</f>
        <v>10329931</v>
      </c>
      <c r="D137" s="2">
        <f>IFERROR(__xludf.DUMMYFUNCTION("""COMPUTED_VALUE"""),452860.0)</f>
        <v>452860</v>
      </c>
      <c r="E137" s="1">
        <f>IFERROR(__xludf.DUMMYFUNCTION("""COMPUTED_VALUE"""),23.0)</f>
        <v>23</v>
      </c>
    </row>
    <row r="138">
      <c r="A138" s="1">
        <f>IFERROR(__xludf.DUMMYFUNCTION("""COMPUTED_VALUE"""),137.0)</f>
        <v>137</v>
      </c>
      <c r="B138" s="1" t="str">
        <f>IFERROR(__xludf.DUMMYFUNCTION("""COMPUTED_VALUE"""),"Paraguay")</f>
        <v>Paraguay</v>
      </c>
      <c r="C138" s="2">
        <f>IFERROR(__xludf.DUMMYFUNCTION("""COMPUTED_VALUE"""),6861524.0)</f>
        <v>6861524</v>
      </c>
      <c r="D138" s="2">
        <f>IFERROR(__xludf.DUMMYFUNCTION("""COMPUTED_VALUE"""),397300.0)</f>
        <v>397300</v>
      </c>
      <c r="E138" s="1">
        <f>IFERROR(__xludf.DUMMYFUNCTION("""COMPUTED_VALUE"""),17.0)</f>
        <v>17</v>
      </c>
    </row>
    <row r="139">
      <c r="A139" s="1">
        <f>IFERROR(__xludf.DUMMYFUNCTION("""COMPUTED_VALUE"""),138.0)</f>
        <v>138</v>
      </c>
      <c r="B139" s="1" t="str">
        <f>IFERROR(__xludf.DUMMYFUNCTION("""COMPUTED_VALUE"""),"Peru")</f>
        <v>Peru</v>
      </c>
      <c r="C139" s="2">
        <f>IFERROR(__xludf.DUMMYFUNCTION("""COMPUTED_VALUE"""),3.4352719E7)</f>
        <v>34352719</v>
      </c>
      <c r="D139" s="2">
        <f>IFERROR(__xludf.DUMMYFUNCTION("""COMPUTED_VALUE"""),1280000.0)</f>
        <v>1280000</v>
      </c>
      <c r="E139" s="1">
        <f>IFERROR(__xludf.DUMMYFUNCTION("""COMPUTED_VALUE"""),27.0)</f>
        <v>27</v>
      </c>
    </row>
    <row r="140">
      <c r="A140" s="1">
        <f>IFERROR(__xludf.DUMMYFUNCTION("""COMPUTED_VALUE"""),139.0)</f>
        <v>139</v>
      </c>
      <c r="B140" s="1" t="str">
        <f>IFERROR(__xludf.DUMMYFUNCTION("""COMPUTED_VALUE"""),"Philippines")</f>
        <v>Philippines</v>
      </c>
      <c r="C140" s="2">
        <f>IFERROR(__xludf.DUMMYFUNCTION("""COMPUTED_VALUE"""),1.17337368E8)</f>
        <v>117337368</v>
      </c>
      <c r="D140" s="2">
        <f>IFERROR(__xludf.DUMMYFUNCTION("""COMPUTED_VALUE"""),298170.0)</f>
        <v>298170</v>
      </c>
      <c r="E140" s="1">
        <f>IFERROR(__xludf.DUMMYFUNCTION("""COMPUTED_VALUE"""),394.0)</f>
        <v>394</v>
      </c>
    </row>
    <row r="141">
      <c r="A141" s="1">
        <f>IFERROR(__xludf.DUMMYFUNCTION("""COMPUTED_VALUE"""),140.0)</f>
        <v>140</v>
      </c>
      <c r="B141" s="1" t="str">
        <f>IFERROR(__xludf.DUMMYFUNCTION("""COMPUTED_VALUE"""),"Poland")</f>
        <v>Poland</v>
      </c>
      <c r="C141" s="2">
        <f>IFERROR(__xludf.DUMMYFUNCTION("""COMPUTED_VALUE"""),4.1026067E7)</f>
        <v>41026067</v>
      </c>
      <c r="D141" s="2">
        <f>IFERROR(__xludf.DUMMYFUNCTION("""COMPUTED_VALUE"""),306230.0)</f>
        <v>306230</v>
      </c>
      <c r="E141" s="1">
        <f>IFERROR(__xludf.DUMMYFUNCTION("""COMPUTED_VALUE"""),134.0)</f>
        <v>134</v>
      </c>
    </row>
    <row r="142">
      <c r="A142" s="1">
        <f>IFERROR(__xludf.DUMMYFUNCTION("""COMPUTED_VALUE"""),141.0)</f>
        <v>141</v>
      </c>
      <c r="B142" s="1" t="str">
        <f>IFERROR(__xludf.DUMMYFUNCTION("""COMPUTED_VALUE"""),"Portugal")</f>
        <v>Portugal</v>
      </c>
      <c r="C142" s="2">
        <f>IFERROR(__xludf.DUMMYFUNCTION("""COMPUTED_VALUE"""),1.0247605E7)</f>
        <v>10247605</v>
      </c>
      <c r="D142" s="2">
        <f>IFERROR(__xludf.DUMMYFUNCTION("""COMPUTED_VALUE"""),91590.0)</f>
        <v>91590</v>
      </c>
      <c r="E142" s="1">
        <f>IFERROR(__xludf.DUMMYFUNCTION("""COMPUTED_VALUE"""),112.0)</f>
        <v>112</v>
      </c>
    </row>
    <row r="143">
      <c r="A143" s="1">
        <f>IFERROR(__xludf.DUMMYFUNCTION("""COMPUTED_VALUE"""),142.0)</f>
        <v>142</v>
      </c>
      <c r="B143" s="1" t="str">
        <f>IFERROR(__xludf.DUMMYFUNCTION("""COMPUTED_VALUE"""),"Qatar")</f>
        <v>Qatar</v>
      </c>
      <c r="C143" s="2">
        <f>IFERROR(__xludf.DUMMYFUNCTION("""COMPUTED_VALUE"""),2716391.0)</f>
        <v>2716391</v>
      </c>
      <c r="D143" s="2">
        <f>IFERROR(__xludf.DUMMYFUNCTION("""COMPUTED_VALUE"""),11610.0)</f>
        <v>11610</v>
      </c>
      <c r="E143" s="1">
        <f>IFERROR(__xludf.DUMMYFUNCTION("""COMPUTED_VALUE"""),234.0)</f>
        <v>234</v>
      </c>
    </row>
    <row r="144">
      <c r="A144" s="1">
        <f>IFERROR(__xludf.DUMMYFUNCTION("""COMPUTED_VALUE"""),143.0)</f>
        <v>143</v>
      </c>
      <c r="B144" s="1" t="str">
        <f>IFERROR(__xludf.DUMMYFUNCTION("""COMPUTED_VALUE"""),"Romania")</f>
        <v>Romania</v>
      </c>
      <c r="C144" s="2">
        <f>IFERROR(__xludf.DUMMYFUNCTION("""COMPUTED_VALUE"""),1.9892812E7)</f>
        <v>19892812</v>
      </c>
      <c r="D144" s="2">
        <f>IFERROR(__xludf.DUMMYFUNCTION("""COMPUTED_VALUE"""),230170.0)</f>
        <v>230170</v>
      </c>
      <c r="E144" s="1">
        <f>IFERROR(__xludf.DUMMYFUNCTION("""COMPUTED_VALUE"""),86.0)</f>
        <v>86</v>
      </c>
    </row>
    <row r="145">
      <c r="A145" s="1">
        <f>IFERROR(__xludf.DUMMYFUNCTION("""COMPUTED_VALUE"""),144.0)</f>
        <v>144</v>
      </c>
      <c r="B145" s="1" t="str">
        <f>IFERROR(__xludf.DUMMYFUNCTION("""COMPUTED_VALUE"""),"Russia")</f>
        <v>Russia</v>
      </c>
      <c r="C145" s="2">
        <f>IFERROR(__xludf.DUMMYFUNCTION("""COMPUTED_VALUE"""),1.44444359E8)</f>
        <v>144444359</v>
      </c>
      <c r="D145" s="2">
        <f>IFERROR(__xludf.DUMMYFUNCTION("""COMPUTED_VALUE"""),1.637687E7)</f>
        <v>16376870</v>
      </c>
      <c r="E145" s="1">
        <f>IFERROR(__xludf.DUMMYFUNCTION("""COMPUTED_VALUE"""),9.0)</f>
        <v>9</v>
      </c>
    </row>
    <row r="146">
      <c r="A146" s="1">
        <f>IFERROR(__xludf.DUMMYFUNCTION("""COMPUTED_VALUE"""),145.0)</f>
        <v>145</v>
      </c>
      <c r="B146" s="1" t="str">
        <f>IFERROR(__xludf.DUMMYFUNCTION("""COMPUTED_VALUE"""),"Rwanda")</f>
        <v>Rwanda</v>
      </c>
      <c r="C146" s="2">
        <f>IFERROR(__xludf.DUMMYFUNCTION("""COMPUTED_VALUE"""),1.4094683E7)</f>
        <v>14094683</v>
      </c>
      <c r="D146" s="2">
        <f>IFERROR(__xludf.DUMMYFUNCTION("""COMPUTED_VALUE"""),24670.0)</f>
        <v>24670</v>
      </c>
      <c r="E146" s="1">
        <f>IFERROR(__xludf.DUMMYFUNCTION("""COMPUTED_VALUE"""),571.0)</f>
        <v>571</v>
      </c>
    </row>
    <row r="147">
      <c r="A147" s="1">
        <f>IFERROR(__xludf.DUMMYFUNCTION("""COMPUTED_VALUE"""),146.0)</f>
        <v>146</v>
      </c>
      <c r="B147" s="1" t="str">
        <f>IFERROR(__xludf.DUMMYFUNCTION("""COMPUTED_VALUE"""),"Saint Kitts and Nevis")</f>
        <v>Saint Kitts and Nevis</v>
      </c>
      <c r="C147" s="2">
        <f>IFERROR(__xludf.DUMMYFUNCTION("""COMPUTED_VALUE"""),47755.0)</f>
        <v>47755</v>
      </c>
      <c r="D147" s="1">
        <f>IFERROR(__xludf.DUMMYFUNCTION("""COMPUTED_VALUE"""),260.0)</f>
        <v>260</v>
      </c>
      <c r="E147" s="1">
        <f>IFERROR(__xludf.DUMMYFUNCTION("""COMPUTED_VALUE"""),184.0)</f>
        <v>184</v>
      </c>
    </row>
    <row r="148">
      <c r="A148" s="1">
        <f>IFERROR(__xludf.DUMMYFUNCTION("""COMPUTED_VALUE"""),147.0)</f>
        <v>147</v>
      </c>
      <c r="B148" s="1" t="str">
        <f>IFERROR(__xludf.DUMMYFUNCTION("""COMPUTED_VALUE"""),"Saint Lucia")</f>
        <v>Saint Lucia</v>
      </c>
      <c r="C148" s="2">
        <f>IFERROR(__xludf.DUMMYFUNCTION("""COMPUTED_VALUE"""),180251.0)</f>
        <v>180251</v>
      </c>
      <c r="D148" s="1">
        <f>IFERROR(__xludf.DUMMYFUNCTION("""COMPUTED_VALUE"""),610.0)</f>
        <v>610</v>
      </c>
      <c r="E148" s="1">
        <f>IFERROR(__xludf.DUMMYFUNCTION("""COMPUTED_VALUE"""),295.0)</f>
        <v>295</v>
      </c>
    </row>
    <row r="149">
      <c r="A149" s="1">
        <f>IFERROR(__xludf.DUMMYFUNCTION("""COMPUTED_VALUE"""),148.0)</f>
        <v>148</v>
      </c>
      <c r="B149" s="1" t="str">
        <f>IFERROR(__xludf.DUMMYFUNCTION("""COMPUTED_VALUE"""),"Saint Vincent and the Grenadines")</f>
        <v>Saint Vincent and the Grenadines</v>
      </c>
      <c r="C149" s="2">
        <f>IFERROR(__xludf.DUMMYFUNCTION("""COMPUTED_VALUE"""),103698.0)</f>
        <v>103698</v>
      </c>
      <c r="D149" s="1">
        <f>IFERROR(__xludf.DUMMYFUNCTION("""COMPUTED_VALUE"""),390.0)</f>
        <v>390</v>
      </c>
      <c r="E149" s="1">
        <f>IFERROR(__xludf.DUMMYFUNCTION("""COMPUTED_VALUE"""),266.0)</f>
        <v>266</v>
      </c>
    </row>
    <row r="150">
      <c r="A150" s="1">
        <f>IFERROR(__xludf.DUMMYFUNCTION("""COMPUTED_VALUE"""),149.0)</f>
        <v>149</v>
      </c>
      <c r="B150" s="1" t="str">
        <f>IFERROR(__xludf.DUMMYFUNCTION("""COMPUTED_VALUE"""),"Samoa")</f>
        <v>Samoa</v>
      </c>
      <c r="C150" s="2">
        <f>IFERROR(__xludf.DUMMYFUNCTION("""COMPUTED_VALUE"""),225681.0)</f>
        <v>225681</v>
      </c>
      <c r="D150" s="2">
        <f>IFERROR(__xludf.DUMMYFUNCTION("""COMPUTED_VALUE"""),2830.0)</f>
        <v>2830</v>
      </c>
      <c r="E150" s="1">
        <f>IFERROR(__xludf.DUMMYFUNCTION("""COMPUTED_VALUE"""),80.0)</f>
        <v>80</v>
      </c>
    </row>
    <row r="151">
      <c r="A151" s="1">
        <f>IFERROR(__xludf.DUMMYFUNCTION("""COMPUTED_VALUE"""),150.0)</f>
        <v>150</v>
      </c>
      <c r="B151" s="1" t="str">
        <f>IFERROR(__xludf.DUMMYFUNCTION("""COMPUTED_VALUE"""),"San Marino")</f>
        <v>San Marino</v>
      </c>
      <c r="C151" s="2">
        <f>IFERROR(__xludf.DUMMYFUNCTION("""COMPUTED_VALUE"""),33642.0)</f>
        <v>33642</v>
      </c>
      <c r="D151" s="1">
        <f>IFERROR(__xludf.DUMMYFUNCTION("""COMPUTED_VALUE"""),60.0)</f>
        <v>60</v>
      </c>
      <c r="E151" s="1">
        <f>IFERROR(__xludf.DUMMYFUNCTION("""COMPUTED_VALUE"""),561.0)</f>
        <v>561</v>
      </c>
    </row>
    <row r="152">
      <c r="A152" s="1">
        <f>IFERROR(__xludf.DUMMYFUNCTION("""COMPUTED_VALUE"""),151.0)</f>
        <v>151</v>
      </c>
      <c r="B152" s="1" t="str">
        <f>IFERROR(__xludf.DUMMYFUNCTION("""COMPUTED_VALUE"""),"Sao Tome and Principe")</f>
        <v>Sao Tome and Principe</v>
      </c>
      <c r="C152" s="2">
        <f>IFERROR(__xludf.DUMMYFUNCTION("""COMPUTED_VALUE"""),231856.0)</f>
        <v>231856</v>
      </c>
      <c r="D152" s="1">
        <f>IFERROR(__xludf.DUMMYFUNCTION("""COMPUTED_VALUE"""),960.0)</f>
        <v>960</v>
      </c>
      <c r="E152" s="1">
        <f>IFERROR(__xludf.DUMMYFUNCTION("""COMPUTED_VALUE"""),242.0)</f>
        <v>242</v>
      </c>
    </row>
    <row r="153">
      <c r="A153" s="1">
        <f>IFERROR(__xludf.DUMMYFUNCTION("""COMPUTED_VALUE"""),152.0)</f>
        <v>152</v>
      </c>
      <c r="B153" s="1" t="str">
        <f>IFERROR(__xludf.DUMMYFUNCTION("""COMPUTED_VALUE"""),"Saudi Arabia")</f>
        <v>Saudi Arabia</v>
      </c>
      <c r="C153" s="2">
        <f>IFERROR(__xludf.DUMMYFUNCTION("""COMPUTED_VALUE"""),3.6947025E7)</f>
        <v>36947025</v>
      </c>
      <c r="D153" s="2">
        <f>IFERROR(__xludf.DUMMYFUNCTION("""COMPUTED_VALUE"""),2149690.0)</f>
        <v>2149690</v>
      </c>
      <c r="E153" s="1">
        <f>IFERROR(__xludf.DUMMYFUNCTION("""COMPUTED_VALUE"""),17.0)</f>
        <v>17</v>
      </c>
    </row>
    <row r="154">
      <c r="A154" s="1">
        <f>IFERROR(__xludf.DUMMYFUNCTION("""COMPUTED_VALUE"""),153.0)</f>
        <v>153</v>
      </c>
      <c r="B154" s="1" t="str">
        <f>IFERROR(__xludf.DUMMYFUNCTION("""COMPUTED_VALUE"""),"Senegal")</f>
        <v>Senegal</v>
      </c>
      <c r="C154" s="2">
        <f>IFERROR(__xludf.DUMMYFUNCTION("""COMPUTED_VALUE"""),1.7763163E7)</f>
        <v>17763163</v>
      </c>
      <c r="D154" s="2">
        <f>IFERROR(__xludf.DUMMYFUNCTION("""COMPUTED_VALUE"""),192530.0)</f>
        <v>192530</v>
      </c>
      <c r="E154" s="1">
        <f>IFERROR(__xludf.DUMMYFUNCTION("""COMPUTED_VALUE"""),92.0)</f>
        <v>92</v>
      </c>
    </row>
    <row r="155">
      <c r="A155" s="1">
        <f>IFERROR(__xludf.DUMMYFUNCTION("""COMPUTED_VALUE"""),154.0)</f>
        <v>154</v>
      </c>
      <c r="B155" s="1" t="str">
        <f>IFERROR(__xludf.DUMMYFUNCTION("""COMPUTED_VALUE"""),"Serbia")</f>
        <v>Serbia</v>
      </c>
      <c r="C155" s="2">
        <f>IFERROR(__xludf.DUMMYFUNCTION("""COMPUTED_VALUE"""),7149077.0)</f>
        <v>7149077</v>
      </c>
      <c r="D155" s="2">
        <f>IFERROR(__xludf.DUMMYFUNCTION("""COMPUTED_VALUE"""),87460.0)</f>
        <v>87460</v>
      </c>
      <c r="E155" s="1">
        <f>IFERROR(__xludf.DUMMYFUNCTION("""COMPUTED_VALUE"""),82.0)</f>
        <v>82</v>
      </c>
    </row>
    <row r="156">
      <c r="A156" s="1">
        <f>IFERROR(__xludf.DUMMYFUNCTION("""COMPUTED_VALUE"""),155.0)</f>
        <v>155</v>
      </c>
      <c r="B156" s="1" t="str">
        <f>IFERROR(__xludf.DUMMYFUNCTION("""COMPUTED_VALUE"""),"Seychelles")</f>
        <v>Seychelles</v>
      </c>
      <c r="C156" s="2">
        <f>IFERROR(__xludf.DUMMYFUNCTION("""COMPUTED_VALUE"""),107660.0)</f>
        <v>107660</v>
      </c>
      <c r="D156" s="1">
        <f>IFERROR(__xludf.DUMMYFUNCTION("""COMPUTED_VALUE"""),460.0)</f>
        <v>460</v>
      </c>
      <c r="E156" s="1">
        <f>IFERROR(__xludf.DUMMYFUNCTION("""COMPUTED_VALUE"""),234.0)</f>
        <v>234</v>
      </c>
    </row>
    <row r="157">
      <c r="A157" s="1">
        <f>IFERROR(__xludf.DUMMYFUNCTION("""COMPUTED_VALUE"""),156.0)</f>
        <v>156</v>
      </c>
      <c r="B157" s="1" t="str">
        <f>IFERROR(__xludf.DUMMYFUNCTION("""COMPUTED_VALUE"""),"Sierra Leone")</f>
        <v>Sierra Leone</v>
      </c>
      <c r="C157" s="2">
        <f>IFERROR(__xludf.DUMMYFUNCTION("""COMPUTED_VALUE"""),8791092.0)</f>
        <v>8791092</v>
      </c>
      <c r="D157" s="2">
        <f>IFERROR(__xludf.DUMMYFUNCTION("""COMPUTED_VALUE"""),72180.0)</f>
        <v>72180</v>
      </c>
      <c r="E157" s="1">
        <f>IFERROR(__xludf.DUMMYFUNCTION("""COMPUTED_VALUE"""),122.0)</f>
        <v>122</v>
      </c>
    </row>
    <row r="158">
      <c r="A158" s="1">
        <f>IFERROR(__xludf.DUMMYFUNCTION("""COMPUTED_VALUE"""),157.0)</f>
        <v>157</v>
      </c>
      <c r="B158" s="1" t="str">
        <f>IFERROR(__xludf.DUMMYFUNCTION("""COMPUTED_VALUE"""),"Singapore")</f>
        <v>Singapore</v>
      </c>
      <c r="C158" s="2">
        <f>IFERROR(__xludf.DUMMYFUNCTION("""COMPUTED_VALUE"""),6014723.0)</f>
        <v>6014723</v>
      </c>
      <c r="D158" s="1">
        <f>IFERROR(__xludf.DUMMYFUNCTION("""COMPUTED_VALUE"""),700.0)</f>
        <v>700</v>
      </c>
      <c r="E158" s="2">
        <f>IFERROR(__xludf.DUMMYFUNCTION("""COMPUTED_VALUE"""),8592.0)</f>
        <v>8592</v>
      </c>
    </row>
    <row r="159">
      <c r="A159" s="1">
        <f>IFERROR(__xludf.DUMMYFUNCTION("""COMPUTED_VALUE"""),158.0)</f>
        <v>158</v>
      </c>
      <c r="B159" s="1" t="str">
        <f>IFERROR(__xludf.DUMMYFUNCTION("""COMPUTED_VALUE"""),"Slovakia")</f>
        <v>Slovakia</v>
      </c>
      <c r="C159" s="2">
        <f>IFERROR(__xludf.DUMMYFUNCTION("""COMPUTED_VALUE"""),5795199.0)</f>
        <v>5795199</v>
      </c>
      <c r="D159" s="2">
        <f>IFERROR(__xludf.DUMMYFUNCTION("""COMPUTED_VALUE"""),48088.0)</f>
        <v>48088</v>
      </c>
      <c r="E159" s="1">
        <f>IFERROR(__xludf.DUMMYFUNCTION("""COMPUTED_VALUE"""),121.0)</f>
        <v>121</v>
      </c>
    </row>
    <row r="160">
      <c r="A160" s="1">
        <f>IFERROR(__xludf.DUMMYFUNCTION("""COMPUTED_VALUE"""),159.0)</f>
        <v>159</v>
      </c>
      <c r="B160" s="1" t="str">
        <f>IFERROR(__xludf.DUMMYFUNCTION("""COMPUTED_VALUE"""),"Slovenia")</f>
        <v>Slovenia</v>
      </c>
      <c r="C160" s="2">
        <f>IFERROR(__xludf.DUMMYFUNCTION("""COMPUTED_VALUE"""),2119675.0)</f>
        <v>2119675</v>
      </c>
      <c r="D160" s="2">
        <f>IFERROR(__xludf.DUMMYFUNCTION("""COMPUTED_VALUE"""),20140.0)</f>
        <v>20140</v>
      </c>
      <c r="E160" s="1">
        <f>IFERROR(__xludf.DUMMYFUNCTION("""COMPUTED_VALUE"""),105.0)</f>
        <v>105</v>
      </c>
    </row>
    <row r="161">
      <c r="A161" s="1">
        <f>IFERROR(__xludf.DUMMYFUNCTION("""COMPUTED_VALUE"""),160.0)</f>
        <v>160</v>
      </c>
      <c r="B161" s="1" t="str">
        <f>IFERROR(__xludf.DUMMYFUNCTION("""COMPUTED_VALUE"""),"Solomon Islands")</f>
        <v>Solomon Islands</v>
      </c>
      <c r="C161" s="2">
        <f>IFERROR(__xludf.DUMMYFUNCTION("""COMPUTED_VALUE"""),740424.0)</f>
        <v>740424</v>
      </c>
      <c r="D161" s="2">
        <f>IFERROR(__xludf.DUMMYFUNCTION("""COMPUTED_VALUE"""),27990.0)</f>
        <v>27990</v>
      </c>
      <c r="E161" s="1">
        <f>IFERROR(__xludf.DUMMYFUNCTION("""COMPUTED_VALUE"""),26.0)</f>
        <v>26</v>
      </c>
    </row>
    <row r="162">
      <c r="A162" s="1">
        <f>IFERROR(__xludf.DUMMYFUNCTION("""COMPUTED_VALUE"""),161.0)</f>
        <v>161</v>
      </c>
      <c r="B162" s="1" t="str">
        <f>IFERROR(__xludf.DUMMYFUNCTION("""COMPUTED_VALUE"""),"Somalia")</f>
        <v>Somalia</v>
      </c>
      <c r="C162" s="2">
        <f>IFERROR(__xludf.DUMMYFUNCTION("""COMPUTED_VALUE"""),1.8143378E7)</f>
        <v>18143378</v>
      </c>
      <c r="D162" s="2">
        <f>IFERROR(__xludf.DUMMYFUNCTION("""COMPUTED_VALUE"""),627340.0)</f>
        <v>627340</v>
      </c>
      <c r="E162" s="1">
        <f>IFERROR(__xludf.DUMMYFUNCTION("""COMPUTED_VALUE"""),29.0)</f>
        <v>29</v>
      </c>
    </row>
    <row r="163">
      <c r="A163" s="1">
        <f>IFERROR(__xludf.DUMMYFUNCTION("""COMPUTED_VALUE"""),162.0)</f>
        <v>162</v>
      </c>
      <c r="B163" s="1" t="str">
        <f>IFERROR(__xludf.DUMMYFUNCTION("""COMPUTED_VALUE"""),"South Africa")</f>
        <v>South Africa</v>
      </c>
      <c r="C163" s="2">
        <f>IFERROR(__xludf.DUMMYFUNCTION("""COMPUTED_VALUE"""),6.0414495E7)</f>
        <v>60414495</v>
      </c>
      <c r="D163" s="2">
        <f>IFERROR(__xludf.DUMMYFUNCTION("""COMPUTED_VALUE"""),1213090.0)</f>
        <v>1213090</v>
      </c>
      <c r="E163" s="1">
        <f>IFERROR(__xludf.DUMMYFUNCTION("""COMPUTED_VALUE"""),50.0)</f>
        <v>50</v>
      </c>
    </row>
    <row r="164">
      <c r="A164" s="1">
        <f>IFERROR(__xludf.DUMMYFUNCTION("""COMPUTED_VALUE"""),163.0)</f>
        <v>163</v>
      </c>
      <c r="B164" s="1" t="str">
        <f>IFERROR(__xludf.DUMMYFUNCTION("""COMPUTED_VALUE"""),"South Korea")</f>
        <v>South Korea</v>
      </c>
      <c r="C164" s="2">
        <f>IFERROR(__xludf.DUMMYFUNCTION("""COMPUTED_VALUE"""),5.1784059E7)</f>
        <v>51784059</v>
      </c>
      <c r="D164" s="2">
        <f>IFERROR(__xludf.DUMMYFUNCTION("""COMPUTED_VALUE"""),97230.0)</f>
        <v>97230</v>
      </c>
      <c r="E164" s="1">
        <f>IFERROR(__xludf.DUMMYFUNCTION("""COMPUTED_VALUE"""),533.0)</f>
        <v>533</v>
      </c>
    </row>
    <row r="165">
      <c r="A165" s="1">
        <f>IFERROR(__xludf.DUMMYFUNCTION("""COMPUTED_VALUE"""),164.0)</f>
        <v>164</v>
      </c>
      <c r="B165" s="1" t="str">
        <f>IFERROR(__xludf.DUMMYFUNCTION("""COMPUTED_VALUE"""),"South Sudan")</f>
        <v>South Sudan</v>
      </c>
      <c r="C165" s="2">
        <f>IFERROR(__xludf.DUMMYFUNCTION("""COMPUTED_VALUE"""),1.1088796E7)</f>
        <v>11088796</v>
      </c>
      <c r="D165" s="2">
        <f>IFERROR(__xludf.DUMMYFUNCTION("""COMPUTED_VALUE"""),610952.0)</f>
        <v>610952</v>
      </c>
      <c r="E165" s="1">
        <f>IFERROR(__xludf.DUMMYFUNCTION("""COMPUTED_VALUE"""),18.0)</f>
        <v>18</v>
      </c>
    </row>
    <row r="166">
      <c r="A166" s="1">
        <f>IFERROR(__xludf.DUMMYFUNCTION("""COMPUTED_VALUE"""),165.0)</f>
        <v>165</v>
      </c>
      <c r="B166" s="1" t="str">
        <f>IFERROR(__xludf.DUMMYFUNCTION("""COMPUTED_VALUE"""),"Spain")</f>
        <v>Spain</v>
      </c>
      <c r="C166" s="2">
        <f>IFERROR(__xludf.DUMMYFUNCTION("""COMPUTED_VALUE"""),4.7519628E7)</f>
        <v>47519628</v>
      </c>
      <c r="D166" s="2">
        <f>IFERROR(__xludf.DUMMYFUNCTION("""COMPUTED_VALUE"""),498800.0)</f>
        <v>498800</v>
      </c>
      <c r="E166" s="1">
        <f>IFERROR(__xludf.DUMMYFUNCTION("""COMPUTED_VALUE"""),95.0)</f>
        <v>95</v>
      </c>
    </row>
    <row r="167">
      <c r="A167" s="1">
        <f>IFERROR(__xludf.DUMMYFUNCTION("""COMPUTED_VALUE"""),166.0)</f>
        <v>166</v>
      </c>
      <c r="B167" s="1" t="str">
        <f>IFERROR(__xludf.DUMMYFUNCTION("""COMPUTED_VALUE"""),"Sri Lanka")</f>
        <v>Sri Lanka</v>
      </c>
      <c r="C167" s="2">
        <f>IFERROR(__xludf.DUMMYFUNCTION("""COMPUTED_VALUE"""),2.1893579E7)</f>
        <v>21893579</v>
      </c>
      <c r="D167" s="2">
        <f>IFERROR(__xludf.DUMMYFUNCTION("""COMPUTED_VALUE"""),62710.0)</f>
        <v>62710</v>
      </c>
      <c r="E167" s="1">
        <f>IFERROR(__xludf.DUMMYFUNCTION("""COMPUTED_VALUE"""),349.0)</f>
        <v>349</v>
      </c>
    </row>
    <row r="168">
      <c r="A168" s="1">
        <f>IFERROR(__xludf.DUMMYFUNCTION("""COMPUTED_VALUE"""),167.0)</f>
        <v>167</v>
      </c>
      <c r="B168" s="1" t="str">
        <f>IFERROR(__xludf.DUMMYFUNCTION("""COMPUTED_VALUE"""),"Sudan")</f>
        <v>Sudan</v>
      </c>
      <c r="C168" s="2">
        <f>IFERROR(__xludf.DUMMYFUNCTION("""COMPUTED_VALUE"""),4.8109006E7)</f>
        <v>48109006</v>
      </c>
      <c r="D168" s="2">
        <f>IFERROR(__xludf.DUMMYFUNCTION("""COMPUTED_VALUE"""),1765048.0)</f>
        <v>1765048</v>
      </c>
      <c r="E168" s="1">
        <f>IFERROR(__xludf.DUMMYFUNCTION("""COMPUTED_VALUE"""),27.0)</f>
        <v>27</v>
      </c>
    </row>
    <row r="169">
      <c r="A169" s="1">
        <f>IFERROR(__xludf.DUMMYFUNCTION("""COMPUTED_VALUE"""),168.0)</f>
        <v>168</v>
      </c>
      <c r="B169" s="1" t="str">
        <f>IFERROR(__xludf.DUMMYFUNCTION("""COMPUTED_VALUE"""),"Suriname")</f>
        <v>Suriname</v>
      </c>
      <c r="C169" s="2">
        <f>IFERROR(__xludf.DUMMYFUNCTION("""COMPUTED_VALUE"""),623236.0)</f>
        <v>623236</v>
      </c>
      <c r="D169" s="2">
        <f>IFERROR(__xludf.DUMMYFUNCTION("""COMPUTED_VALUE"""),156000.0)</f>
        <v>156000</v>
      </c>
      <c r="E169" s="1">
        <f>IFERROR(__xludf.DUMMYFUNCTION("""COMPUTED_VALUE"""),4.0)</f>
        <v>4</v>
      </c>
    </row>
    <row r="170">
      <c r="A170" s="1">
        <f>IFERROR(__xludf.DUMMYFUNCTION("""COMPUTED_VALUE"""),169.0)</f>
        <v>169</v>
      </c>
      <c r="B170" s="1" t="str">
        <f>IFERROR(__xludf.DUMMYFUNCTION("""COMPUTED_VALUE"""),"Sweden")</f>
        <v>Sweden</v>
      </c>
      <c r="C170" s="2">
        <f>IFERROR(__xludf.DUMMYFUNCTION("""COMPUTED_VALUE"""),1.0612086E7)</f>
        <v>10612086</v>
      </c>
      <c r="D170" s="2">
        <f>IFERROR(__xludf.DUMMYFUNCTION("""COMPUTED_VALUE"""),410340.0)</f>
        <v>410340</v>
      </c>
      <c r="E170" s="1">
        <f>IFERROR(__xludf.DUMMYFUNCTION("""COMPUTED_VALUE"""),26.0)</f>
        <v>26</v>
      </c>
    </row>
    <row r="171">
      <c r="A171" s="1">
        <f>IFERROR(__xludf.DUMMYFUNCTION("""COMPUTED_VALUE"""),170.0)</f>
        <v>170</v>
      </c>
      <c r="B171" s="1" t="str">
        <f>IFERROR(__xludf.DUMMYFUNCTION("""COMPUTED_VALUE"""),"Switzerland")</f>
        <v>Switzerland</v>
      </c>
      <c r="C171" s="2">
        <f>IFERROR(__xludf.DUMMYFUNCTION("""COMPUTED_VALUE"""),8796669.0)</f>
        <v>8796669</v>
      </c>
      <c r="D171" s="2">
        <f>IFERROR(__xludf.DUMMYFUNCTION("""COMPUTED_VALUE"""),39516.0)</f>
        <v>39516</v>
      </c>
      <c r="E171" s="1">
        <f>IFERROR(__xludf.DUMMYFUNCTION("""COMPUTED_VALUE"""),223.0)</f>
        <v>223</v>
      </c>
    </row>
    <row r="172">
      <c r="A172" s="1">
        <f>IFERROR(__xludf.DUMMYFUNCTION("""COMPUTED_VALUE"""),171.0)</f>
        <v>171</v>
      </c>
      <c r="B172" s="1" t="str">
        <f>IFERROR(__xludf.DUMMYFUNCTION("""COMPUTED_VALUE"""),"Syria")</f>
        <v>Syria</v>
      </c>
      <c r="C172" s="2">
        <f>IFERROR(__xludf.DUMMYFUNCTION("""COMPUTED_VALUE"""),2.3227014E7)</f>
        <v>23227014</v>
      </c>
      <c r="D172" s="2">
        <f>IFERROR(__xludf.DUMMYFUNCTION("""COMPUTED_VALUE"""),183630.0)</f>
        <v>183630</v>
      </c>
      <c r="E172" s="1">
        <f>IFERROR(__xludf.DUMMYFUNCTION("""COMPUTED_VALUE"""),126.0)</f>
        <v>126</v>
      </c>
    </row>
    <row r="173">
      <c r="A173" s="1">
        <f>IFERROR(__xludf.DUMMYFUNCTION("""COMPUTED_VALUE"""),172.0)</f>
        <v>172</v>
      </c>
      <c r="B173" s="1" t="str">
        <f>IFERROR(__xludf.DUMMYFUNCTION("""COMPUTED_VALUE"""),"Tajikistan")</f>
        <v>Tajikistan</v>
      </c>
      <c r="C173" s="2">
        <f>IFERROR(__xludf.DUMMYFUNCTION("""COMPUTED_VALUE"""),1.0143543E7)</f>
        <v>10143543</v>
      </c>
      <c r="D173" s="2">
        <f>IFERROR(__xludf.DUMMYFUNCTION("""COMPUTED_VALUE"""),139960.0)</f>
        <v>139960</v>
      </c>
      <c r="E173" s="1">
        <f>IFERROR(__xludf.DUMMYFUNCTION("""COMPUTED_VALUE"""),72.0)</f>
        <v>72</v>
      </c>
    </row>
    <row r="174">
      <c r="A174" s="1">
        <f>IFERROR(__xludf.DUMMYFUNCTION("""COMPUTED_VALUE"""),173.0)</f>
        <v>173</v>
      </c>
      <c r="B174" s="1" t="str">
        <f>IFERROR(__xludf.DUMMYFUNCTION("""COMPUTED_VALUE"""),"Tanzania")</f>
        <v>Tanzania</v>
      </c>
      <c r="C174" s="2">
        <f>IFERROR(__xludf.DUMMYFUNCTION("""COMPUTED_VALUE"""),6.7438106E7)</f>
        <v>67438106</v>
      </c>
      <c r="D174" s="2">
        <f>IFERROR(__xludf.DUMMYFUNCTION("""COMPUTED_VALUE"""),885800.0)</f>
        <v>885800</v>
      </c>
      <c r="E174" s="1">
        <f>IFERROR(__xludf.DUMMYFUNCTION("""COMPUTED_VALUE"""),76.0)</f>
        <v>76</v>
      </c>
    </row>
    <row r="175">
      <c r="A175" s="1">
        <f>IFERROR(__xludf.DUMMYFUNCTION("""COMPUTED_VALUE"""),174.0)</f>
        <v>174</v>
      </c>
      <c r="B175" s="1" t="str">
        <f>IFERROR(__xludf.DUMMYFUNCTION("""COMPUTED_VALUE"""),"Thailand")</f>
        <v>Thailand</v>
      </c>
      <c r="C175" s="2">
        <f>IFERROR(__xludf.DUMMYFUNCTION("""COMPUTED_VALUE"""),7.1801279E7)</f>
        <v>71801279</v>
      </c>
      <c r="D175" s="2">
        <f>IFERROR(__xludf.DUMMYFUNCTION("""COMPUTED_VALUE"""),510890.0)</f>
        <v>510890</v>
      </c>
      <c r="E175" s="1">
        <f>IFERROR(__xludf.DUMMYFUNCTION("""COMPUTED_VALUE"""),141.0)</f>
        <v>141</v>
      </c>
    </row>
    <row r="176">
      <c r="A176" s="1">
        <f>IFERROR(__xludf.DUMMYFUNCTION("""COMPUTED_VALUE"""),175.0)</f>
        <v>175</v>
      </c>
      <c r="B176" s="1" t="str">
        <f>IFERROR(__xludf.DUMMYFUNCTION("""COMPUTED_VALUE"""),"Timor-Leste")</f>
        <v>Timor-Leste</v>
      </c>
      <c r="C176" s="2">
        <f>IFERROR(__xludf.DUMMYFUNCTION("""COMPUTED_VALUE"""),1360596.0)</f>
        <v>1360596</v>
      </c>
      <c r="D176" s="2">
        <f>IFERROR(__xludf.DUMMYFUNCTION("""COMPUTED_VALUE"""),14870.0)</f>
        <v>14870</v>
      </c>
      <c r="E176" s="1">
        <f>IFERROR(__xludf.DUMMYFUNCTION("""COMPUTED_VALUE"""),91.0)</f>
        <v>91</v>
      </c>
    </row>
    <row r="177">
      <c r="A177" s="1">
        <f>IFERROR(__xludf.DUMMYFUNCTION("""COMPUTED_VALUE"""),176.0)</f>
        <v>176</v>
      </c>
      <c r="B177" s="1" t="str">
        <f>IFERROR(__xludf.DUMMYFUNCTION("""COMPUTED_VALUE"""),"Togo")</f>
        <v>Togo</v>
      </c>
      <c r="C177" s="2">
        <f>IFERROR(__xludf.DUMMYFUNCTION("""COMPUTED_VALUE"""),9053799.0)</f>
        <v>9053799</v>
      </c>
      <c r="D177" s="2">
        <f>IFERROR(__xludf.DUMMYFUNCTION("""COMPUTED_VALUE"""),54390.0)</f>
        <v>54390</v>
      </c>
      <c r="E177" s="1">
        <f>IFERROR(__xludf.DUMMYFUNCTION("""COMPUTED_VALUE"""),166.0)</f>
        <v>166</v>
      </c>
    </row>
    <row r="178">
      <c r="A178" s="1">
        <f>IFERROR(__xludf.DUMMYFUNCTION("""COMPUTED_VALUE"""),177.0)</f>
        <v>177</v>
      </c>
      <c r="B178" s="1" t="str">
        <f>IFERROR(__xludf.DUMMYFUNCTION("""COMPUTED_VALUE"""),"Tonga")</f>
        <v>Tonga</v>
      </c>
      <c r="C178" s="2">
        <f>IFERROR(__xludf.DUMMYFUNCTION("""COMPUTED_VALUE"""),107773.0)</f>
        <v>107773</v>
      </c>
      <c r="D178" s="1">
        <f>IFERROR(__xludf.DUMMYFUNCTION("""COMPUTED_VALUE"""),720.0)</f>
        <v>720</v>
      </c>
      <c r="E178" s="1">
        <f>IFERROR(__xludf.DUMMYFUNCTION("""COMPUTED_VALUE"""),150.0)</f>
        <v>150</v>
      </c>
    </row>
    <row r="179">
      <c r="A179" s="1">
        <f>IFERROR(__xludf.DUMMYFUNCTION("""COMPUTED_VALUE"""),178.0)</f>
        <v>178</v>
      </c>
      <c r="B179" s="1" t="str">
        <f>IFERROR(__xludf.DUMMYFUNCTION("""COMPUTED_VALUE"""),"Trinidad and Tobago")</f>
        <v>Trinidad and Tobago</v>
      </c>
      <c r="C179" s="2">
        <f>IFERROR(__xludf.DUMMYFUNCTION("""COMPUTED_VALUE"""),1534937.0)</f>
        <v>1534937</v>
      </c>
      <c r="D179" s="2">
        <f>IFERROR(__xludf.DUMMYFUNCTION("""COMPUTED_VALUE"""),5130.0)</f>
        <v>5130</v>
      </c>
      <c r="E179" s="1">
        <f>IFERROR(__xludf.DUMMYFUNCTION("""COMPUTED_VALUE"""),299.0)</f>
        <v>299</v>
      </c>
    </row>
    <row r="180">
      <c r="A180" s="1">
        <f>IFERROR(__xludf.DUMMYFUNCTION("""COMPUTED_VALUE"""),179.0)</f>
        <v>179</v>
      </c>
      <c r="B180" s="1" t="str">
        <f>IFERROR(__xludf.DUMMYFUNCTION("""COMPUTED_VALUE"""),"Tunisia")</f>
        <v>Tunisia</v>
      </c>
      <c r="C180" s="2">
        <f>IFERROR(__xludf.DUMMYFUNCTION("""COMPUTED_VALUE"""),1.2458223E7)</f>
        <v>12458223</v>
      </c>
      <c r="D180" s="2">
        <f>IFERROR(__xludf.DUMMYFUNCTION("""COMPUTED_VALUE"""),155360.0)</f>
        <v>155360</v>
      </c>
      <c r="E180" s="1">
        <f>IFERROR(__xludf.DUMMYFUNCTION("""COMPUTED_VALUE"""),80.0)</f>
        <v>80</v>
      </c>
    </row>
    <row r="181">
      <c r="A181" s="1">
        <f>IFERROR(__xludf.DUMMYFUNCTION("""COMPUTED_VALUE"""),180.0)</f>
        <v>180</v>
      </c>
      <c r="B181" s="1" t="str">
        <f>IFERROR(__xludf.DUMMYFUNCTION("""COMPUTED_VALUE"""),"Turkey")</f>
        <v>Turkey</v>
      </c>
      <c r="C181" s="2">
        <f>IFERROR(__xludf.DUMMYFUNCTION("""COMPUTED_VALUE"""),8.5816199E7)</f>
        <v>85816199</v>
      </c>
      <c r="D181" s="2">
        <f>IFERROR(__xludf.DUMMYFUNCTION("""COMPUTED_VALUE"""),769630.0)</f>
        <v>769630</v>
      </c>
      <c r="E181" s="1">
        <f>IFERROR(__xludf.DUMMYFUNCTION("""COMPUTED_VALUE"""),112.0)</f>
        <v>112</v>
      </c>
    </row>
    <row r="182">
      <c r="A182" s="1">
        <f>IFERROR(__xludf.DUMMYFUNCTION("""COMPUTED_VALUE"""),181.0)</f>
        <v>181</v>
      </c>
      <c r="B182" s="1" t="str">
        <f>IFERROR(__xludf.DUMMYFUNCTION("""COMPUTED_VALUE"""),"Turkmenistan")</f>
        <v>Turkmenistan</v>
      </c>
      <c r="C182" s="2">
        <f>IFERROR(__xludf.DUMMYFUNCTION("""COMPUTED_VALUE"""),6516100.0)</f>
        <v>6516100</v>
      </c>
      <c r="D182" s="2">
        <f>IFERROR(__xludf.DUMMYFUNCTION("""COMPUTED_VALUE"""),469930.0)</f>
        <v>469930</v>
      </c>
      <c r="E182" s="1">
        <f>IFERROR(__xludf.DUMMYFUNCTION("""COMPUTED_VALUE"""),14.0)</f>
        <v>14</v>
      </c>
    </row>
    <row r="183">
      <c r="A183" s="1">
        <f>IFERROR(__xludf.DUMMYFUNCTION("""COMPUTED_VALUE"""),182.0)</f>
        <v>182</v>
      </c>
      <c r="B183" s="1" t="str">
        <f>IFERROR(__xludf.DUMMYFUNCTION("""COMPUTED_VALUE"""),"Tuvalu")</f>
        <v>Tuvalu</v>
      </c>
      <c r="C183" s="2">
        <f>IFERROR(__xludf.DUMMYFUNCTION("""COMPUTED_VALUE"""),11396.0)</f>
        <v>11396</v>
      </c>
      <c r="D183" s="1">
        <f>IFERROR(__xludf.DUMMYFUNCTION("""COMPUTED_VALUE"""),30.0)</f>
        <v>30</v>
      </c>
      <c r="E183" s="1">
        <f>IFERROR(__xludf.DUMMYFUNCTION("""COMPUTED_VALUE"""),380.0)</f>
        <v>380</v>
      </c>
    </row>
    <row r="184">
      <c r="A184" s="1">
        <f>IFERROR(__xludf.DUMMYFUNCTION("""COMPUTED_VALUE"""),183.0)</f>
        <v>183</v>
      </c>
      <c r="B184" s="1" t="str">
        <f>IFERROR(__xludf.DUMMYFUNCTION("""COMPUTED_VALUE"""),"Uganda")</f>
        <v>Uganda</v>
      </c>
      <c r="C184" s="2">
        <f>IFERROR(__xludf.DUMMYFUNCTION("""COMPUTED_VALUE"""),4.8582334E7)</f>
        <v>48582334</v>
      </c>
      <c r="D184" s="2">
        <f>IFERROR(__xludf.DUMMYFUNCTION("""COMPUTED_VALUE"""),199810.0)</f>
        <v>199810</v>
      </c>
      <c r="E184" s="1">
        <f>IFERROR(__xludf.DUMMYFUNCTION("""COMPUTED_VALUE"""),243.0)</f>
        <v>243</v>
      </c>
    </row>
    <row r="185">
      <c r="A185" s="1">
        <f>IFERROR(__xludf.DUMMYFUNCTION("""COMPUTED_VALUE"""),184.0)</f>
        <v>184</v>
      </c>
      <c r="B185" s="1" t="str">
        <f>IFERROR(__xludf.DUMMYFUNCTION("""COMPUTED_VALUE"""),"Ukraine")</f>
        <v>Ukraine</v>
      </c>
      <c r="C185" s="2">
        <f>IFERROR(__xludf.DUMMYFUNCTION("""COMPUTED_VALUE"""),3.6744634E7)</f>
        <v>36744634</v>
      </c>
      <c r="D185" s="2">
        <f>IFERROR(__xludf.DUMMYFUNCTION("""COMPUTED_VALUE"""),579320.0)</f>
        <v>579320</v>
      </c>
      <c r="E185" s="1">
        <f>IFERROR(__xludf.DUMMYFUNCTION("""COMPUTED_VALUE"""),63.0)</f>
        <v>63</v>
      </c>
    </row>
    <row r="186">
      <c r="A186" s="1">
        <f>IFERROR(__xludf.DUMMYFUNCTION("""COMPUTED_VALUE"""),185.0)</f>
        <v>185</v>
      </c>
      <c r="B186" s="1" t="str">
        <f>IFERROR(__xludf.DUMMYFUNCTION("""COMPUTED_VALUE"""),"United Arab Emirates")</f>
        <v>United Arab Emirates</v>
      </c>
      <c r="C186" s="2">
        <f>IFERROR(__xludf.DUMMYFUNCTION("""COMPUTED_VALUE"""),9516871.0)</f>
        <v>9516871</v>
      </c>
      <c r="D186" s="2">
        <f>IFERROR(__xludf.DUMMYFUNCTION("""COMPUTED_VALUE"""),83600.0)</f>
        <v>83600</v>
      </c>
      <c r="E186" s="1">
        <f>IFERROR(__xludf.DUMMYFUNCTION("""COMPUTED_VALUE"""),114.0)</f>
        <v>114</v>
      </c>
    </row>
    <row r="187">
      <c r="A187" s="1">
        <f>IFERROR(__xludf.DUMMYFUNCTION("""COMPUTED_VALUE"""),186.0)</f>
        <v>186</v>
      </c>
      <c r="B187" s="1" t="str">
        <f>IFERROR(__xludf.DUMMYFUNCTION("""COMPUTED_VALUE"""),"United Kingdom")</f>
        <v>United Kingdom</v>
      </c>
      <c r="C187" s="2">
        <f>IFERROR(__xludf.DUMMYFUNCTION("""COMPUTED_VALUE"""),6.7736802E7)</f>
        <v>67736802</v>
      </c>
      <c r="D187" s="2">
        <f>IFERROR(__xludf.DUMMYFUNCTION("""COMPUTED_VALUE"""),241930.0)</f>
        <v>241930</v>
      </c>
      <c r="E187" s="1">
        <f>IFERROR(__xludf.DUMMYFUNCTION("""COMPUTED_VALUE"""),280.0)</f>
        <v>280</v>
      </c>
    </row>
    <row r="188">
      <c r="A188" s="1">
        <f>IFERROR(__xludf.DUMMYFUNCTION("""COMPUTED_VALUE"""),187.0)</f>
        <v>187</v>
      </c>
      <c r="B188" s="1" t="str">
        <f>IFERROR(__xludf.DUMMYFUNCTION("""COMPUTED_VALUE"""),"United States of America")</f>
        <v>United States of America</v>
      </c>
      <c r="C188" s="2">
        <f>IFERROR(__xludf.DUMMYFUNCTION("""COMPUTED_VALUE"""),3.39996563E8)</f>
        <v>339996563</v>
      </c>
      <c r="D188" s="2">
        <f>IFERROR(__xludf.DUMMYFUNCTION("""COMPUTED_VALUE"""),9147420.0)</f>
        <v>9147420</v>
      </c>
      <c r="E188" s="1">
        <f>IFERROR(__xludf.DUMMYFUNCTION("""COMPUTED_VALUE"""),37.0)</f>
        <v>37</v>
      </c>
    </row>
    <row r="189">
      <c r="A189" s="1">
        <f>IFERROR(__xludf.DUMMYFUNCTION("""COMPUTED_VALUE"""),188.0)</f>
        <v>188</v>
      </c>
      <c r="B189" s="1" t="str">
        <f>IFERROR(__xludf.DUMMYFUNCTION("""COMPUTED_VALUE"""),"Uruguay")</f>
        <v>Uruguay</v>
      </c>
      <c r="C189" s="2">
        <f>IFERROR(__xludf.DUMMYFUNCTION("""COMPUTED_VALUE"""),3423108.0)</f>
        <v>3423108</v>
      </c>
      <c r="D189" s="2">
        <f>IFERROR(__xludf.DUMMYFUNCTION("""COMPUTED_VALUE"""),175020.0)</f>
        <v>175020</v>
      </c>
      <c r="E189" s="1">
        <f>IFERROR(__xludf.DUMMYFUNCTION("""COMPUTED_VALUE"""),20.0)</f>
        <v>20</v>
      </c>
    </row>
    <row r="190">
      <c r="A190" s="1">
        <f>IFERROR(__xludf.DUMMYFUNCTION("""COMPUTED_VALUE"""),189.0)</f>
        <v>189</v>
      </c>
      <c r="B190" s="1" t="str">
        <f>IFERROR(__xludf.DUMMYFUNCTION("""COMPUTED_VALUE"""),"Uzbekistan")</f>
        <v>Uzbekistan</v>
      </c>
      <c r="C190" s="2">
        <f>IFERROR(__xludf.DUMMYFUNCTION("""COMPUTED_VALUE"""),3.5163944E7)</f>
        <v>35163944</v>
      </c>
      <c r="D190" s="2">
        <f>IFERROR(__xludf.DUMMYFUNCTION("""COMPUTED_VALUE"""),425400.0)</f>
        <v>425400</v>
      </c>
      <c r="E190" s="1">
        <f>IFERROR(__xludf.DUMMYFUNCTION("""COMPUTED_VALUE"""),83.0)</f>
        <v>83</v>
      </c>
    </row>
    <row r="191">
      <c r="A191" s="1">
        <f>IFERROR(__xludf.DUMMYFUNCTION("""COMPUTED_VALUE"""),190.0)</f>
        <v>190</v>
      </c>
      <c r="B191" s="1" t="str">
        <f>IFERROR(__xludf.DUMMYFUNCTION("""COMPUTED_VALUE"""),"Vanuatu")</f>
        <v>Vanuatu</v>
      </c>
      <c r="C191" s="2">
        <f>IFERROR(__xludf.DUMMYFUNCTION("""COMPUTED_VALUE"""),334506.0)</f>
        <v>334506</v>
      </c>
      <c r="D191" s="2">
        <f>IFERROR(__xludf.DUMMYFUNCTION("""COMPUTED_VALUE"""),12190.0)</f>
        <v>12190</v>
      </c>
      <c r="E191" s="1">
        <f>IFERROR(__xludf.DUMMYFUNCTION("""COMPUTED_VALUE"""),27.0)</f>
        <v>27</v>
      </c>
    </row>
    <row r="192">
      <c r="A192" s="1">
        <f>IFERROR(__xludf.DUMMYFUNCTION("""COMPUTED_VALUE"""),191.0)</f>
        <v>191</v>
      </c>
      <c r="B192" s="1" t="str">
        <f>IFERROR(__xludf.DUMMYFUNCTION("""COMPUTED_VALUE"""),"Venezuela")</f>
        <v>Venezuela</v>
      </c>
      <c r="C192" s="2">
        <f>IFERROR(__xludf.DUMMYFUNCTION("""COMPUTED_VALUE"""),2.8838499E7)</f>
        <v>28838499</v>
      </c>
      <c r="D192" s="2">
        <f>IFERROR(__xludf.DUMMYFUNCTION("""COMPUTED_VALUE"""),882050.0)</f>
        <v>882050</v>
      </c>
      <c r="E192" s="1">
        <f>IFERROR(__xludf.DUMMYFUNCTION("""COMPUTED_VALUE"""),33.0)</f>
        <v>33</v>
      </c>
    </row>
    <row r="193">
      <c r="A193" s="1">
        <f>IFERROR(__xludf.DUMMYFUNCTION("""COMPUTED_VALUE"""),192.0)</f>
        <v>192</v>
      </c>
      <c r="B193" s="1" t="str">
        <f>IFERROR(__xludf.DUMMYFUNCTION("""COMPUTED_VALUE"""),"Vietnam")</f>
        <v>Vietnam</v>
      </c>
      <c r="C193" s="2">
        <f>IFERROR(__xludf.DUMMYFUNCTION("""COMPUTED_VALUE"""),9.885895E7)</f>
        <v>98858950</v>
      </c>
      <c r="D193" s="2">
        <f>IFERROR(__xludf.DUMMYFUNCTION("""COMPUTED_VALUE"""),310070.0)</f>
        <v>310070</v>
      </c>
      <c r="E193" s="1">
        <f>IFERROR(__xludf.DUMMYFUNCTION("""COMPUTED_VALUE"""),319.0)</f>
        <v>319</v>
      </c>
    </row>
    <row r="194">
      <c r="A194" s="1">
        <f>IFERROR(__xludf.DUMMYFUNCTION("""COMPUTED_VALUE"""),193.0)</f>
        <v>193</v>
      </c>
      <c r="B194" s="1" t="str">
        <f>IFERROR(__xludf.DUMMYFUNCTION("""COMPUTED_VALUE"""),"Yemen")</f>
        <v>Yemen</v>
      </c>
      <c r="C194" s="2">
        <f>IFERROR(__xludf.DUMMYFUNCTION("""COMPUTED_VALUE"""),3.4449825E7)</f>
        <v>34449825</v>
      </c>
      <c r="D194" s="2">
        <f>IFERROR(__xludf.DUMMYFUNCTION("""COMPUTED_VALUE"""),527970.0)</f>
        <v>527970</v>
      </c>
      <c r="E194" s="1">
        <f>IFERROR(__xludf.DUMMYFUNCTION("""COMPUTED_VALUE"""),65.0)</f>
        <v>65</v>
      </c>
    </row>
    <row r="195">
      <c r="A195" s="1">
        <f>IFERROR(__xludf.DUMMYFUNCTION("""COMPUTED_VALUE"""),194.0)</f>
        <v>194</v>
      </c>
      <c r="B195" s="1" t="str">
        <f>IFERROR(__xludf.DUMMYFUNCTION("""COMPUTED_VALUE"""),"Zambia")</f>
        <v>Zambia</v>
      </c>
      <c r="C195" s="2">
        <f>IFERROR(__xludf.DUMMYFUNCTION("""COMPUTED_VALUE"""),2.0569737E7)</f>
        <v>20569737</v>
      </c>
      <c r="D195" s="2">
        <f>IFERROR(__xludf.DUMMYFUNCTION("""COMPUTED_VALUE"""),743390.0)</f>
        <v>743390</v>
      </c>
      <c r="E195" s="1">
        <f>IFERROR(__xludf.DUMMYFUNCTION("""COMPUTED_VALUE"""),28.0)</f>
        <v>28</v>
      </c>
    </row>
    <row r="196">
      <c r="A196" s="1">
        <f>IFERROR(__xludf.DUMMYFUNCTION("""COMPUTED_VALUE"""),195.0)</f>
        <v>195</v>
      </c>
      <c r="B196" s="1" t="str">
        <f>IFERROR(__xludf.DUMMYFUNCTION("""COMPUTED_VALUE"""),"Zimbabwe")</f>
        <v>Zimbabwe</v>
      </c>
      <c r="C196" s="2">
        <f>IFERROR(__xludf.DUMMYFUNCTION("""COMPUTED_VALUE"""),1.6665409E7)</f>
        <v>16665409</v>
      </c>
      <c r="D196" s="2">
        <f>IFERROR(__xludf.DUMMYFUNCTION("""COMPUTED_VALUE"""),386850.0)</f>
        <v>386850</v>
      </c>
      <c r="E196" s="1">
        <f>IFERROR(__xludf.DUMMYFUNCTION("""COMPUTED_VALUE"""),43.0)</f>
        <v>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