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ttwerk" sheetId="1" state="visible" r:id="rId2"/>
    <sheet name="Jungwuchs" sheetId="2" state="visible" r:id="rId3"/>
    <sheet name="Blatt zu Blatt_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<sst xmlns="http://schemas.openxmlformats.org/spreadsheetml/2006/main" count="111" uniqueCount="92">
  <si>
    <t xml:space="preserve">PARAMETER</t>
  </si>
  <si>
    <t xml:space="preserve">sigma</t>
  </si>
  <si>
    <t xml:space="preserve">Logfak</t>
  </si>
  <si>
    <t xml:space="preserve">eigentlicher Logfak</t>
  </si>
  <si>
    <t xml:space="preserve">Wirth DHA orig.</t>
  </si>
  <si>
    <t xml:space="preserve">r</t>
  </si>
  <si>
    <t xml:space="preserve">kreisgröße</t>
  </si>
  <si>
    <t xml:space="preserve">Wirth DHA</t>
  </si>
  <si>
    <t xml:space="preserve">Wirth DHAC</t>
  </si>
  <si>
    <t xml:space="preserve">Pretzsch Kiefer</t>
  </si>
  <si>
    <t xml:space="preserve">jungwuchs diffeenz erreicht</t>
  </si>
  <si>
    <t xml:space="preserve">jungwuchs differenz zu erreichen</t>
  </si>
  <si>
    <t xml:space="preserve">Pretzsch Fichte</t>
  </si>
  <si>
    <t xml:space="preserve">Perruchoud Quercus</t>
  </si>
  <si>
    <t xml:space="preserve">Perruchoud Pinus</t>
  </si>
  <si>
    <t xml:space="preserve">Wutzler DH</t>
  </si>
  <si>
    <t xml:space="preserve">Wutzler DHC</t>
  </si>
  <si>
    <t xml:space="preserve">Eckmüllner</t>
  </si>
  <si>
    <t xml:space="preserve">Anm: Eckmüllner Schwachsinn: wenn Kronenanteil gegen 100% geht, dann keine Nadeln…. ?</t>
  </si>
  <si>
    <t xml:space="preserve">Hochbichler</t>
  </si>
  <si>
    <t xml:space="preserve">Repola</t>
  </si>
  <si>
    <t xml:space="preserve">Cienciala DHC</t>
  </si>
  <si>
    <t xml:space="preserve">Cienciala DHACZ</t>
  </si>
  <si>
    <t xml:space="preserve">Mittel1b_bart_et_g_u.xlxs</t>
  </si>
  <si>
    <t xml:space="preserve">berechnet</t>
  </si>
  <si>
    <t xml:space="preserve">u_input_plot_jahr &lt;1990</t>
  </si>
  <si>
    <t xml:space="preserve">BZE</t>
  </si>
  <si>
    <t xml:space="preserve">Art</t>
  </si>
  <si>
    <t xml:space="preserve">Jungwuchs (GRKl&gt;0)</t>
  </si>
  <si>
    <t xml:space="preserve">Flächenfaktor</t>
  </si>
  <si>
    <t xml:space="preserve">BHD</t>
  </si>
  <si>
    <t xml:space="preserve">Höhe</t>
  </si>
  <si>
    <t xml:space="preserve">Kronenansatz</t>
  </si>
  <si>
    <t xml:space="preserve">Oberhöhe</t>
  </si>
  <si>
    <t xml:space="preserve">Alter orig.</t>
  </si>
  <si>
    <t xml:space="preserve">Alter </t>
  </si>
  <si>
    <t xml:space="preserve">KD</t>
  </si>
  <si>
    <t xml:space="preserve">KGRAD</t>
  </si>
  <si>
    <t xml:space="preserve">Alt</t>
  </si>
  <si>
    <t xml:space="preserve">BM (g)</t>
  </si>
  <si>
    <t xml:space="preserve">Blatt</t>
  </si>
  <si>
    <t xml:space="preserve">Blatt_sd</t>
  </si>
  <si>
    <t xml:space="preserve">Streu</t>
  </si>
  <si>
    <t xml:space="preserve">Streu_sd</t>
  </si>
  <si>
    <t xml:space="preserve">biomass_blatt_r</t>
  </si>
  <si>
    <t xml:space="preserve">Streu berechnet</t>
  </si>
  <si>
    <t xml:space="preserve">über-/unterschätzt</t>
  </si>
  <si>
    <t xml:space="preserve">Nagel TreeGross</t>
  </si>
  <si>
    <t xml:space="preserve">Annighöfer/ Poorter</t>
  </si>
  <si>
    <t xml:space="preserve">Fichte</t>
  </si>
  <si>
    <t xml:space="preserve">DHA</t>
  </si>
  <si>
    <t xml:space="preserve">DHAC</t>
  </si>
  <si>
    <t xml:space="preserve">Pretzsch</t>
  </si>
  <si>
    <t xml:space="preserve">xx</t>
  </si>
  <si>
    <t xml:space="preserve">Tanne</t>
  </si>
  <si>
    <t xml:space="preserve">Kiefer</t>
  </si>
  <si>
    <t xml:space="preserve">aus h100.xlsx</t>
  </si>
  <si>
    <t xml:space="preserve">+</t>
  </si>
  <si>
    <t xml:space="preserve">Eiche</t>
  </si>
  <si>
    <t xml:space="preserve">Buche</t>
  </si>
  <si>
    <t xml:space="preserve">annighofer</t>
  </si>
  <si>
    <t xml:space="preserve">Picea</t>
  </si>
  <si>
    <t xml:space="preserve">Abies</t>
  </si>
  <si>
    <t xml:space="preserve">Fagus</t>
  </si>
  <si>
    <t xml:space="preserve">eq 4</t>
  </si>
  <si>
    <t xml:space="preserve">eq 3</t>
  </si>
  <si>
    <t xml:space="preserve">eq 2</t>
  </si>
  <si>
    <t xml:space="preserve">Gymnosperms</t>
  </si>
  <si>
    <t xml:space="preserve">Angiospems</t>
  </si>
  <si>
    <t xml:space="preserve">poorter</t>
  </si>
  <si>
    <t xml:space="preserve">Annighofer AGB (=stem without leaves)</t>
  </si>
  <si>
    <t xml:space="preserve">Poorter</t>
  </si>
  <si>
    <t xml:space="preserve">eq4</t>
  </si>
  <si>
    <t xml:space="preserve">eq3</t>
  </si>
  <si>
    <t xml:space="preserve">eq2</t>
  </si>
  <si>
    <t xml:space="preserve">Jungwuchs</t>
  </si>
  <si>
    <t xml:space="preserve">H</t>
  </si>
  <si>
    <t xml:space="preserve">RCD</t>
  </si>
  <si>
    <t xml:space="preserve">beachte! bei Laub andere pq Formel Variante!!!</t>
  </si>
  <si>
    <t xml:space="preserve">aus etafel.exe</t>
  </si>
  <si>
    <t xml:space="preserve">1.KL</t>
  </si>
  <si>
    <t xml:space="preserve">2.KL</t>
  </si>
  <si>
    <t xml:space="preserve">Jahr</t>
  </si>
  <si>
    <t xml:space="preserve">daniel.r</t>
  </si>
  <si>
    <t xml:space="preserve">Faktor Steffi Erntefaktor.out</t>
  </si>
  <si>
    <t xml:space="preserve">Alter</t>
  </si>
  <si>
    <t xml:space="preserve">verbleibend</t>
  </si>
  <si>
    <t xml:space="preserve">ausscheidend</t>
  </si>
  <si>
    <t xml:space="preserve">HG</t>
  </si>
  <si>
    <t xml:space="preserve">HG (Bonitaet_out.xls)</t>
  </si>
  <si>
    <t xml:space="preserve">ungefähres Verhältnis</t>
  </si>
  <si>
    <t xml:space="preserve">Vehältnis Daniel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</si>
</sst>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b val="true"/>
      <sz val="10"/>
      <name val="Arial"/>
      <family val="2"/>
      <charset val="1"/>
    </font>
    <font>
      <sz val="15"/>
      <name val="Arial"/>
      <family val="2"/>
      <charset val="1"/>
    </font>
    <font>
      <sz val="11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D7"/>
        <bgColor rgb="FFFFFFFF"/>
      </patternFill>
    </fill>
    <fill>
      <patternFill patternType="solid">
        <fgColor rgb="FFB2B2B2"/>
        <bgColor rgb="FFB4C7DC"/>
      </patternFill>
    </fill>
    <fill>
      <patternFill patternType="solid">
        <fgColor rgb="FFFFFF6D"/>
        <bgColor rgb="FFFFFF38"/>
      </patternFill>
    </fill>
    <fill>
      <patternFill patternType="solid">
        <fgColor rgb="FF2A6099"/>
        <bgColor rgb="FF3465A4"/>
      </patternFill>
    </fill>
    <fill>
      <patternFill patternType="solid">
        <fgColor rgb="FFBF819E"/>
        <bgColor rgb="FF808080"/>
      </patternFill>
    </fill>
    <fill>
      <patternFill patternType="solid">
        <fgColor rgb="FF784B04"/>
        <bgColor rgb="FF808000"/>
      </patternFill>
    </fill>
    <fill>
      <patternFill patternType="solid">
        <fgColor rgb="FFFFAA95"/>
        <bgColor rgb="FFFFB66C"/>
      </patternFill>
    </fill>
    <fill>
      <patternFill patternType="solid">
        <fgColor rgb="FFE6E905"/>
        <bgColor rgb="FFFFCC00"/>
      </patternFill>
    </fill>
    <fill>
      <patternFill patternType="solid">
        <fgColor rgb="FFFF8000"/>
        <bgColor rgb="FFFF6600"/>
      </patternFill>
    </fill>
    <fill>
      <patternFill patternType="solid">
        <fgColor rgb="FF3465A4"/>
        <bgColor rgb="FF2A6099"/>
      </patternFill>
    </fill>
    <fill>
      <patternFill patternType="solid">
        <fgColor rgb="FFD4EA6B"/>
        <bgColor rgb="FFFFFF6D"/>
      </patternFill>
    </fill>
    <fill>
      <patternFill patternType="solid">
        <fgColor rgb="FFFFB66C"/>
        <bgColor rgb="FFFFAA95"/>
      </patternFill>
    </fill>
    <fill>
      <patternFill patternType="solid">
        <fgColor rgb="FFFFFF38"/>
        <bgColor rgb="FFFFFF6D"/>
      </patternFill>
    </fill>
    <fill>
      <patternFill patternType="solid">
        <fgColor rgb="FF81D41A"/>
        <bgColor rgb="FFD4EA6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1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B2B2B2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6D"/>
      <rgbColor rgb="FF99CCFF"/>
      <rgbColor rgb="FFFFAA95"/>
      <rgbColor rgb="FFCC99FF"/>
      <rgbColor rgb="FFFFB66C"/>
      <rgbColor rgb="FF3366FF"/>
      <rgbColor rgb="FF33CCCC"/>
      <rgbColor rgb="FF81D41A"/>
      <rgbColor rgb="FFFFCC00"/>
      <rgbColor rgb="FFFF8000"/>
      <rgbColor rgb="FFFF6600"/>
      <rgbColor rgb="FF3465A4"/>
      <rgbColor rgb="FFBF819E"/>
      <rgbColor rgb="FF003366"/>
      <rgbColor rgb="FF339966"/>
      <rgbColor rgb="FF003300"/>
      <rgbColor rgb="FF333300"/>
      <rgbColor rgb="FF784B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2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9" topLeftCell="A20" activePane="bottomLeft" state="frozen"/>
      <selection pane="topLeft" activeCell="A1" activeCellId="0" sqref="A1"/>
      <selection pane="bottomLeft" activeCell="H27" activeCellId="0" sqref="H27"/>
    </sheetView>
  </sheetViews>
  <sheetFormatPr defaultColWidth="12.00390625" defaultRowHeight="12.8" zeroHeight="false" outlineLevelRow="0" outlineLevelCol="0"/>
  <cols>
    <col collapsed="false" customWidth="true" hidden="false" outlineLevel="0" max="3" min="1" style="1" width="11.52"/>
    <col collapsed="false" customWidth="true" hidden="false" outlineLevel="0" max="4" min="4" style="1" width="16.81"/>
    <col collapsed="false" customWidth="true" hidden="false" outlineLevel="0" max="5" min="5" style="1" width="9.72"/>
    <col collapsed="false" customWidth="true" hidden="false" outlineLevel="0" max="11" min="6" style="1" width="11.52"/>
    <col collapsed="false" customWidth="true" hidden="false" outlineLevel="0" max="12" min="12" style="1" width="8.47"/>
    <col collapsed="false" customWidth="true" hidden="false" outlineLevel="0" max="13" min="13" style="1" width="10.46"/>
    <col collapsed="false" customWidth="true" hidden="false" outlineLevel="0" max="14" min="14" style="1" width="7.49"/>
    <col collapsed="false" customWidth="true" hidden="false" outlineLevel="0" max="15" min="15" style="1" width="6.67"/>
    <col collapsed="false" customWidth="true" hidden="false" outlineLevel="0" max="16" min="16" style="1" width="9.17"/>
    <col collapsed="false" customWidth="true" hidden="false" outlineLevel="0" max="17" min="17" style="1" width="11.11"/>
    <col collapsed="false" customWidth="true" hidden="false" outlineLevel="0" max="18" min="18" style="1" width="11.87"/>
    <col collapsed="false" customWidth="true" hidden="false" outlineLevel="0" max="19" min="19" style="1" width="17.36"/>
    <col collapsed="false" customWidth="true" hidden="false" outlineLevel="0" max="21" min="20" style="1" width="18.47"/>
    <col collapsed="false" customWidth="true" hidden="false" outlineLevel="0" max="23" min="22" style="1" width="15.56"/>
    <col collapsed="false" customWidth="true" hidden="false" outlineLevel="0" max="24" min="24" style="1" width="11.11"/>
    <col collapsed="false" customWidth="true" hidden="false" outlineLevel="0" max="25" min="25" style="1" width="15.56"/>
    <col collapsed="false" customWidth="true" hidden="false" outlineLevel="0" max="26" min="26" style="1" width="14.43"/>
    <col collapsed="false" customWidth="true" hidden="false" outlineLevel="0" max="32" min="27" style="1" width="13.36"/>
    <col collapsed="false" customWidth="true" hidden="false" outlineLevel="0" max="33" min="33" style="1" width="11.52"/>
    <col collapsed="false" customWidth="true" hidden="false" outlineLevel="0" max="34" min="34" style="1" width="3.33"/>
    <col collapsed="false" customWidth="true" hidden="false" outlineLevel="0" max="43" min="35" style="1" width="11.52"/>
  </cols>
  <sheetData>
    <row r="1" customFormat="false" ht="12.8" hidden="false" customHeight="false" outlineLevel="0" collapsed="false">
      <c r="S1" s="2"/>
      <c r="T1" s="2"/>
    </row>
    <row r="2" customFormat="false" ht="12.8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S2" s="2"/>
      <c r="T2" s="2"/>
    </row>
    <row r="3" customFormat="false" ht="12.8" hidden="false" customHeight="false" outlineLevel="0" collapsed="false">
      <c r="A3" s="3"/>
      <c r="K3" s="1" t="s">
        <v>1</v>
      </c>
      <c r="M3" s="1" t="s">
        <v>2</v>
      </c>
      <c r="N3" s="2" t="s">
        <v>3</v>
      </c>
      <c r="R3" s="0"/>
      <c r="S3" s="0"/>
      <c r="T3" s="0"/>
      <c r="U3" s="0"/>
      <c r="V3" s="0"/>
    </row>
    <row r="4" customFormat="false" ht="12.8" hidden="false" customHeight="false" outlineLevel="0" collapsed="false">
      <c r="A4" s="3" t="s">
        <v>4</v>
      </c>
      <c r="B4" s="4" t="n">
        <v>-0.58133</v>
      </c>
      <c r="C4" s="4" t="n">
        <v>3.63845</v>
      </c>
      <c r="D4" s="4" t="n">
        <v>-0.21336</v>
      </c>
      <c r="E4" s="4" t="n">
        <v>-2.77755</v>
      </c>
      <c r="F4" s="4" t="n">
        <v>0.4654</v>
      </c>
      <c r="G4" s="4" t="n">
        <v>-0.4294</v>
      </c>
      <c r="P4" s="1" t="s">
        <v>5</v>
      </c>
      <c r="Q4" s="1" t="s">
        <v>6</v>
      </c>
      <c r="R4" s="0"/>
      <c r="S4" s="0"/>
      <c r="T4" s="0"/>
      <c r="U4" s="0"/>
      <c r="V4" s="0"/>
    </row>
    <row r="5" customFormat="false" ht="12.8" hidden="false" customHeight="false" outlineLevel="0" collapsed="false">
      <c r="A5" s="3" t="s">
        <v>7</v>
      </c>
      <c r="B5" s="4" t="n">
        <f aca="false">ROUND(B4,5)</f>
        <v>-0.58133</v>
      </c>
      <c r="C5" s="4" t="n">
        <f aca="false">ROUND(C4,5)</f>
        <v>3.63845</v>
      </c>
      <c r="D5" s="4" t="n">
        <f aca="false">ROUND(D4,5)</f>
        <v>-0.21336</v>
      </c>
      <c r="E5" s="4" t="n">
        <f aca="false">ROUND(E4,5)</f>
        <v>-2.77755</v>
      </c>
      <c r="F5" s="4" t="n">
        <f aca="false">ROUND(F4,5)</f>
        <v>0.4654</v>
      </c>
      <c r="G5" s="4" t="n">
        <f aca="false">ROUND(G4,5)</f>
        <v>-0.4294</v>
      </c>
      <c r="K5" s="1" t="n">
        <v>0.3382</v>
      </c>
      <c r="M5" s="1" t="n">
        <v>1.07</v>
      </c>
      <c r="N5" s="1" t="n">
        <f aca="false">EXP(K5^2/2)</f>
        <v>1.05885657174385</v>
      </c>
      <c r="P5" s="1" t="n">
        <v>5</v>
      </c>
      <c r="Q5" s="1" t="n">
        <f aca="false">10000/(PI()/4*(P5*2)^2)/4</f>
        <v>31.8309886183791</v>
      </c>
      <c r="S5" s="2"/>
      <c r="T5" s="2"/>
    </row>
    <row r="6" customFormat="false" ht="12.8" hidden="false" customHeight="false" outlineLevel="0" collapsed="false">
      <c r="A6" s="3" t="s">
        <v>8</v>
      </c>
      <c r="B6" s="5" t="n">
        <v>-1.18863</v>
      </c>
      <c r="C6" s="5" t="n">
        <v>3.33792</v>
      </c>
      <c r="D6" s="5" t="n">
        <v>-0.24482</v>
      </c>
      <c r="E6" s="5" t="n">
        <v>-3.31885</v>
      </c>
      <c r="F6" s="5" t="n">
        <v>0.49368</v>
      </c>
      <c r="G6" s="5" t="n">
        <v>-0.13463</v>
      </c>
      <c r="H6" s="5" t="n">
        <v>0.85797</v>
      </c>
      <c r="K6" s="1" t="n">
        <v>0.2972</v>
      </c>
      <c r="M6" s="1" t="n">
        <f aca="false">EXP(K6^2/2)</f>
        <v>1.04515366243604</v>
      </c>
      <c r="P6" s="1" t="n">
        <v>5.64</v>
      </c>
      <c r="Q6" s="1" t="n">
        <f aca="false">10000/(PI()/4*(P6*2)^2)</f>
        <v>100.067239507504</v>
      </c>
      <c r="S6" s="2"/>
      <c r="T6" s="2"/>
    </row>
    <row r="7" customFormat="false" ht="12.8" hidden="false" customHeight="false" outlineLevel="0" collapsed="false">
      <c r="A7" s="3" t="s">
        <v>9</v>
      </c>
      <c r="B7" s="6" t="n">
        <v>1.6437</v>
      </c>
      <c r="C7" s="6" t="n">
        <v>-0.26567</v>
      </c>
      <c r="D7" s="6" t="n">
        <v>0.37169</v>
      </c>
      <c r="E7" s="6" t="n">
        <v>0.55807</v>
      </c>
      <c r="F7" s="1" t="n">
        <v>0.027296</v>
      </c>
      <c r="G7" s="1" t="n">
        <v>0.0081267</v>
      </c>
      <c r="H7" s="1" t="n">
        <v>0.0538829</v>
      </c>
      <c r="K7" s="1" t="n">
        <f aca="false">0.0538829^0.5</f>
        <v>0.232126904946411</v>
      </c>
      <c r="M7" s="1" t="n">
        <f aca="false">EXP(K7^2/2)</f>
        <v>1.02730765213956</v>
      </c>
      <c r="P7" s="1" t="n">
        <v>12.62</v>
      </c>
      <c r="Q7" s="1" t="n">
        <f aca="false">10000/(PI()/4*(P7*2)^2)</f>
        <v>19.9862546924354</v>
      </c>
      <c r="S7" s="2"/>
      <c r="T7" s="2" t="n">
        <f aca="false">0.3963^2</f>
        <v>0.15705369</v>
      </c>
      <c r="AF7" s="7" t="s">
        <v>10</v>
      </c>
      <c r="AJ7" s="8" t="s">
        <v>11</v>
      </c>
    </row>
    <row r="8" customFormat="false" ht="12.8" hidden="false" customHeight="false" outlineLevel="0" collapsed="false">
      <c r="A8" s="3" t="s">
        <v>12</v>
      </c>
      <c r="B8" s="6" t="n">
        <v>1.58828</v>
      </c>
      <c r="C8" s="6" t="n">
        <v>0.7488</v>
      </c>
      <c r="D8" s="6" t="n">
        <v>0.4282</v>
      </c>
      <c r="E8" s="0"/>
      <c r="K8" s="1" t="n">
        <f aca="false">0.054283^0.5</f>
        <v>0.23298712410775</v>
      </c>
      <c r="M8" s="1" t="n">
        <f aca="false">EXP(K8^2/2)</f>
        <v>1.02751318559317</v>
      </c>
      <c r="P8" s="1" t="n">
        <v>17.84</v>
      </c>
      <c r="Q8" s="1" t="n">
        <f aca="false">10000/(PI()/4*(P8*2)^2)</f>
        <v>10.0013914850927</v>
      </c>
      <c r="S8" s="2"/>
      <c r="T8" s="2"/>
    </row>
    <row r="9" customFormat="false" ht="12.8" hidden="false" customHeight="false" outlineLevel="0" collapsed="false">
      <c r="A9" s="2" t="s">
        <v>13</v>
      </c>
      <c r="B9" s="9" t="n">
        <v>0.40299</v>
      </c>
      <c r="C9" s="9" t="n">
        <v>0.007293</v>
      </c>
      <c r="D9" s="9" t="n">
        <f aca="false">2.82*10^(-7)</f>
        <v>2.82E-007</v>
      </c>
      <c r="S9" s="2"/>
      <c r="T9" s="2"/>
    </row>
    <row r="10" customFormat="false" ht="12.8" hidden="false" customHeight="false" outlineLevel="0" collapsed="false">
      <c r="A10" s="2" t="s">
        <v>14</v>
      </c>
      <c r="B10" s="9" t="n">
        <v>1.138795</v>
      </c>
      <c r="C10" s="9" t="n">
        <v>0.007911</v>
      </c>
      <c r="D10" s="9" t="n">
        <v>8.639E-009</v>
      </c>
      <c r="S10" s="2"/>
      <c r="T10" s="2"/>
    </row>
    <row r="11" customFormat="false" ht="12.8" hidden="false" customHeight="false" outlineLevel="0" collapsed="false">
      <c r="A11" s="2" t="s">
        <v>15</v>
      </c>
      <c r="B11" s="10" t="n">
        <v>0.0377</v>
      </c>
      <c r="C11" s="10" t="n">
        <v>2.43</v>
      </c>
      <c r="D11" s="10" t="n">
        <v>-0.913</v>
      </c>
      <c r="K11" s="1" t="n">
        <f aca="false">0.179^0.5</f>
        <v>0.423083916026124</v>
      </c>
      <c r="M11" s="1" t="n">
        <f aca="false">(K11^2/2)</f>
        <v>0.0895</v>
      </c>
      <c r="S11" s="2"/>
      <c r="T11" s="2"/>
    </row>
    <row r="12" customFormat="false" ht="12.8" hidden="false" customHeight="false" outlineLevel="0" collapsed="false">
      <c r="A12" s="2" t="s">
        <v>16</v>
      </c>
      <c r="B12" s="10" t="n">
        <v>0.0561</v>
      </c>
      <c r="C12" s="10" t="n">
        <v>2.07</v>
      </c>
      <c r="D12" s="10" t="n">
        <v>-1.09</v>
      </c>
      <c r="E12" s="10" t="n">
        <v>0.0137</v>
      </c>
      <c r="F12" s="10" t="n">
        <v>-3.29E-006</v>
      </c>
      <c r="M12" s="1" t="n">
        <f aca="false">1.00034484</f>
        <v>1.00034484</v>
      </c>
      <c r="S12" s="2"/>
      <c r="T12" s="2"/>
    </row>
    <row r="13" customFormat="false" ht="12.8" hidden="false" customHeight="false" outlineLevel="0" collapsed="false">
      <c r="A13" s="2" t="s">
        <v>17</v>
      </c>
      <c r="B13" s="11" t="n">
        <v>2.00579</v>
      </c>
      <c r="C13" s="11" t="n">
        <v>2.25302</v>
      </c>
      <c r="D13" s="11" t="n">
        <v>-1.58921</v>
      </c>
      <c r="E13" s="11" t="n">
        <v>-0.60578</v>
      </c>
      <c r="F13" s="1" t="s">
        <v>18</v>
      </c>
      <c r="S13" s="2"/>
      <c r="T13" s="2"/>
    </row>
    <row r="14" customFormat="false" ht="12.8" hidden="false" customHeight="false" outlineLevel="0" collapsed="false">
      <c r="A14" s="2" t="s">
        <v>19</v>
      </c>
      <c r="B14" s="12" t="n">
        <v>-3.88761</v>
      </c>
      <c r="C14" s="12" t="n">
        <v>1.59036</v>
      </c>
      <c r="D14" s="12" t="n">
        <v>0.234808</v>
      </c>
      <c r="S14" s="2"/>
      <c r="T14" s="2"/>
    </row>
    <row r="15" customFormat="false" ht="12.8" hidden="false" customHeight="false" outlineLevel="0" collapsed="false">
      <c r="A15" s="2" t="s">
        <v>20</v>
      </c>
      <c r="B15" s="13" t="n">
        <v>-2.994</v>
      </c>
      <c r="C15" s="13" t="n">
        <v>12.251</v>
      </c>
      <c r="D15" s="13" t="n">
        <v>-3.415</v>
      </c>
      <c r="S15" s="2"/>
      <c r="T15" s="2"/>
    </row>
    <row r="16" customFormat="false" ht="12.8" hidden="false" customHeight="false" outlineLevel="0" collapsed="false">
      <c r="A16" s="2" t="s">
        <v>21</v>
      </c>
      <c r="B16" s="14" t="n">
        <v>0.34286</v>
      </c>
      <c r="C16" s="14" t="n">
        <v>1.30204</v>
      </c>
      <c r="D16" s="14" t="n">
        <v>-0.77298</v>
      </c>
      <c r="E16" s="14" t="n">
        <v>0.52454</v>
      </c>
      <c r="M16" s="1" t="n">
        <v>1.03252</v>
      </c>
      <c r="S16" s="2"/>
      <c r="T16" s="2"/>
    </row>
    <row r="17" customFormat="false" ht="12.8" hidden="false" customHeight="false" outlineLevel="0" collapsed="false">
      <c r="A17" s="2" t="s">
        <v>22</v>
      </c>
      <c r="B17" s="14" t="n">
        <v>0.16126</v>
      </c>
      <c r="C17" s="14" t="n">
        <v>1.24419</v>
      </c>
      <c r="D17" s="14" t="n">
        <v>-0.90789</v>
      </c>
      <c r="E17" s="14" t="n">
        <v>0.16552</v>
      </c>
      <c r="F17" s="14" t="n">
        <v>0.37546</v>
      </c>
      <c r="G17" s="14" t="n">
        <v>0.1551</v>
      </c>
      <c r="S17" s="2"/>
      <c r="T17" s="2"/>
    </row>
    <row r="18" customFormat="false" ht="16.15" hidden="false" customHeight="false" outlineLevel="0" collapsed="false">
      <c r="S18" s="15" t="s">
        <v>23</v>
      </c>
      <c r="T18" s="15"/>
      <c r="Y18" s="15" t="s">
        <v>24</v>
      </c>
      <c r="Z18" s="2"/>
      <c r="AA18" s="2"/>
      <c r="AB18" s="2"/>
      <c r="AC18" s="2"/>
      <c r="AD18" s="2"/>
      <c r="AE18" s="2"/>
      <c r="AF18" s="2"/>
      <c r="AG18" s="2"/>
      <c r="AH18" s="2"/>
      <c r="AI18" s="15" t="s">
        <v>25</v>
      </c>
      <c r="AJ18" s="16"/>
    </row>
    <row r="19" customFormat="false" ht="12.8" hidden="false" customHeight="false" outlineLevel="0" collapsed="false">
      <c r="A19" s="1" t="s">
        <v>26</v>
      </c>
      <c r="B19" s="1" t="s">
        <v>27</v>
      </c>
      <c r="C19" s="1" t="s">
        <v>28</v>
      </c>
      <c r="D19" s="2" t="s">
        <v>29</v>
      </c>
      <c r="F19" s="1" t="s">
        <v>30</v>
      </c>
      <c r="G19" s="1" t="s">
        <v>31</v>
      </c>
      <c r="H19" s="1" t="s">
        <v>32</v>
      </c>
      <c r="I19" s="1" t="s">
        <v>32</v>
      </c>
      <c r="J19" s="1" t="s">
        <v>33</v>
      </c>
      <c r="K19" s="1" t="s">
        <v>34</v>
      </c>
      <c r="L19" s="1" t="s">
        <v>35</v>
      </c>
      <c r="M19" s="1" t="s">
        <v>36</v>
      </c>
      <c r="N19" s="1" t="s">
        <v>37</v>
      </c>
      <c r="O19" s="1" t="s">
        <v>38</v>
      </c>
      <c r="P19" s="1" t="s">
        <v>39</v>
      </c>
      <c r="S19" s="2" t="s">
        <v>40</v>
      </c>
      <c r="T19" s="2" t="s">
        <v>41</v>
      </c>
      <c r="U19" s="17" t="s">
        <v>42</v>
      </c>
      <c r="V19" s="17" t="s">
        <v>43</v>
      </c>
      <c r="W19" s="1" t="s">
        <v>44</v>
      </c>
      <c r="Y19" s="16" t="s">
        <v>40</v>
      </c>
      <c r="Z19" s="2"/>
      <c r="AA19" s="2"/>
      <c r="AB19" s="2"/>
      <c r="AC19" s="2"/>
      <c r="AD19" s="2"/>
      <c r="AE19" s="2"/>
      <c r="AF19" s="17" t="s">
        <v>45</v>
      </c>
      <c r="AG19" s="2"/>
      <c r="AH19" s="2"/>
      <c r="AI19" s="17" t="s">
        <v>42</v>
      </c>
      <c r="AJ19" s="1" t="s">
        <v>46</v>
      </c>
      <c r="AK19" s="3"/>
      <c r="AP19" s="1" t="s">
        <v>26</v>
      </c>
    </row>
    <row r="20" customFormat="false" ht="12.8" hidden="false" customHeight="false" outlineLevel="0" collapsed="false">
      <c r="H20" s="1" t="s">
        <v>47</v>
      </c>
      <c r="P20" s="1" t="s">
        <v>48</v>
      </c>
      <c r="U20" s="18"/>
      <c r="V20" s="18"/>
      <c r="W20" s="3"/>
      <c r="X20" s="3"/>
      <c r="AF20" s="18"/>
      <c r="AI20" s="18"/>
      <c r="AK20" s="3"/>
    </row>
    <row r="21" customFormat="false" ht="18.55" hidden="false" customHeight="false" outlineLevel="0" collapsed="false">
      <c r="B21" s="19" t="s">
        <v>49</v>
      </c>
      <c r="U21" s="18"/>
      <c r="V21" s="18"/>
      <c r="Y21" s="16" t="s">
        <v>50</v>
      </c>
      <c r="Z21" s="16" t="s">
        <v>51</v>
      </c>
      <c r="AA21" s="16" t="s">
        <v>52</v>
      </c>
      <c r="AB21" s="16"/>
      <c r="AC21" s="16"/>
      <c r="AD21" s="16"/>
      <c r="AE21" s="16"/>
      <c r="AF21" s="17" t="s">
        <v>50</v>
      </c>
      <c r="AG21" s="16" t="s">
        <v>51</v>
      </c>
      <c r="AH21" s="2"/>
      <c r="AI21" s="18"/>
      <c r="AK21" s="3"/>
    </row>
    <row r="22" customFormat="false" ht="13.8" hidden="false" customHeight="false" outlineLevel="0" collapsed="false">
      <c r="A22" s="1" t="n">
        <v>10035</v>
      </c>
      <c r="D22" s="2" t="n">
        <v>19.9862550523052</v>
      </c>
      <c r="F22" s="1" t="n">
        <v>22.5</v>
      </c>
      <c r="G22" s="1" t="n">
        <v>17.3</v>
      </c>
      <c r="H22" s="1" t="n">
        <f aca="false">G22*(1-EXP(-ABS((2.0417-0.3335*G22/F22+0.00906*F22- 0.9004*LN(J22)))))</f>
        <v>12.0118188720471</v>
      </c>
      <c r="I22" s="1" t="n">
        <v>3.5</v>
      </c>
      <c r="J22" s="20" t="n">
        <v>33.9706605195616</v>
      </c>
      <c r="K22" s="1" t="n">
        <v>38</v>
      </c>
      <c r="L22" s="1" t="n">
        <f aca="false">ROUND(K22/5,0)*5</f>
        <v>40</v>
      </c>
      <c r="M22" s="1" t="n">
        <f aca="false">(1.2644+0.1072*F22)*(1-EXP(-EXP(LN(F22/0.000001))))</f>
        <v>3.6764</v>
      </c>
      <c r="N22" s="21" t="n">
        <f aca="false">(G22-H22)/G22</f>
        <v>0.305675209708263</v>
      </c>
      <c r="O22" s="21"/>
      <c r="P22" s="21"/>
      <c r="R22" s="1" t="n">
        <f aca="false">S22/Y22</f>
        <v>1.00000072360263</v>
      </c>
      <c r="S22" s="2" t="n">
        <f aca="false">U22/0.14</f>
        <v>0.412212142857143</v>
      </c>
      <c r="T22" s="2"/>
      <c r="U22" s="22" t="n">
        <v>0.0577097</v>
      </c>
      <c r="V22" s="0"/>
      <c r="W22" s="0" t="n">
        <v>0.00588917</v>
      </c>
      <c r="X22" s="2"/>
      <c r="Y22" s="23" t="n">
        <f aca="false">(EXP($B$5 + $C$5*LN(F22) + $D$5*(LN(F22))^2 + $E$5*LN(G22) + $F$5*(LN(G22))^2 + $G$5*LN(L22)))/1000*D22*$M$5</f>
        <v>0.412211844579567</v>
      </c>
      <c r="Z22" s="24" t="n">
        <f aca="false">(EXP($B$6 + $C$6*LN(F22) + $D$6*(LN(F22))^2 + $E$6*LN(G22) + $F$6*(LN(G22))^2 + $G$6*LN(K22) + $H$6*LN(G22-H22))/1000*D22)*$M$6</f>
        <v>0.212724903698837</v>
      </c>
      <c r="AA22" s="25" t="n">
        <f aca="false">(EXP(-2.33445+$B$8*LN(F22)+$C$8*LN(N22)+$D$8*LN(M22))/1000*D22)*$M$8</f>
        <v>0.200909929918967</v>
      </c>
      <c r="AB22" s="2"/>
      <c r="AC22" s="2"/>
      <c r="AD22" s="2"/>
      <c r="AE22" s="2"/>
      <c r="AF22" s="26" t="n">
        <f aca="false">Y22*0.14</f>
        <v>0.0577096582411394</v>
      </c>
      <c r="AG22" s="24" t="n">
        <f aca="false">Z22*0.14</f>
        <v>0.0297814865178372</v>
      </c>
      <c r="AH22" s="2"/>
      <c r="AI22" s="27" t="n">
        <v>0.06359883</v>
      </c>
      <c r="AJ22" s="1" t="str">
        <f aca="false">IF(AI22&lt;AF22,"-","+")</f>
        <v>+</v>
      </c>
      <c r="AK22" s="3" t="n">
        <f aca="false">AI22/AN22</f>
        <v>0.999999371058008</v>
      </c>
      <c r="AL22" s="1" t="n">
        <f aca="false">U22/AF22</f>
        <v>1.00000072360263</v>
      </c>
      <c r="AN22" s="28" t="n">
        <f aca="false">SUM(U22:W22)</f>
        <v>0.06359887</v>
      </c>
      <c r="AP22" s="1" t="n">
        <v>10035</v>
      </c>
    </row>
    <row r="23" customFormat="false" ht="13.8" hidden="false" customHeight="false" outlineLevel="0" collapsed="false">
      <c r="A23" s="1" t="n">
        <v>30098</v>
      </c>
      <c r="D23" s="2" t="n">
        <v>10.0013913127003</v>
      </c>
      <c r="F23" s="1" t="n">
        <v>37.5</v>
      </c>
      <c r="G23" s="1" t="n">
        <v>27</v>
      </c>
      <c r="H23" s="1" t="n">
        <f aca="false">G23*(1-EXP(-ABS((2.0417-0.3335*G23/F23+0.00906*F23- 0.9004*LN(J23)))))</f>
        <v>17.443564419358</v>
      </c>
      <c r="I23" s="1" t="n">
        <v>13.9</v>
      </c>
      <c r="J23" s="29" t="n">
        <v>34.1823836290253</v>
      </c>
      <c r="K23" s="1" t="n">
        <v>59</v>
      </c>
      <c r="L23" s="1" t="n">
        <f aca="false">ROUND(K23/5,0)*5</f>
        <v>60</v>
      </c>
      <c r="M23" s="1" t="n">
        <f aca="false">(1.2644+0.1072*F23)*(1-EXP(-EXP(LN(F23/0.000001))))</f>
        <v>5.2844</v>
      </c>
      <c r="N23" s="21" t="n">
        <f aca="false">(G23-H23)/G23</f>
        <v>0.353942058542296</v>
      </c>
      <c r="O23" s="21"/>
      <c r="P23" s="21"/>
      <c r="R23" s="1" t="n">
        <f aca="false">S23/Y23</f>
        <v>1.00000001145728</v>
      </c>
      <c r="S23" s="2" t="n">
        <f aca="false">U23/0.14</f>
        <v>0.553540521428571</v>
      </c>
      <c r="T23" s="2"/>
      <c r="U23" s="22" t="n">
        <v>0.077495673</v>
      </c>
      <c r="V23" s="0"/>
      <c r="W23" s="0" t="n">
        <v>0.00573647</v>
      </c>
      <c r="X23" s="2"/>
      <c r="Y23" s="23" t="n">
        <f aca="false">(EXP($B$5 + $C$5*LN(F23) + $D$5*(LN(F23))^2 + $E$5*LN(G23) + $F$5*(LN(G23))^2 + $G$5*LN(L23)))/1000*D23*$M$5</f>
        <v>0.553540515086505</v>
      </c>
      <c r="Z23" s="24" t="n">
        <f aca="false">(EXP($B$6 + $C$6*LN(F23) + $D$6*(LN(F23))^2 + $E$6*LN(G23) + $F$6*(LN(G23))^2 + $G$6*LN(K23) + $H$6*LN(G23-H23))/1000*D23)*$M$6</f>
        <v>0.347927706841164</v>
      </c>
      <c r="AA23" s="25" t="n">
        <f aca="false">(EXP(-2.33445+$B$8*LN(F23)+$C$8*LN(N23)+$D$8*LN(M23))/1000*D23)*$M$8</f>
        <v>0.295011275044636</v>
      </c>
      <c r="AB23" s="2"/>
      <c r="AC23" s="2"/>
      <c r="AD23" s="2"/>
      <c r="AE23" s="2"/>
      <c r="AF23" s="26" t="n">
        <f aca="false">Y23*0.14</f>
        <v>0.0774956721121107</v>
      </c>
      <c r="AG23" s="24" t="n">
        <f aca="false">Z23*0.14</f>
        <v>0.048709878957763</v>
      </c>
      <c r="AH23" s="2"/>
      <c r="AI23" s="27" t="n">
        <v>0.08323214</v>
      </c>
      <c r="AJ23" s="1" t="str">
        <f aca="false">IF(AI23&lt;AF23,"-","+")</f>
        <v>+</v>
      </c>
      <c r="AK23" s="3" t="n">
        <f aca="false">AI23/AN23</f>
        <v>0.999999963956232</v>
      </c>
      <c r="AL23" s="1" t="n">
        <f aca="false">U23/AF23</f>
        <v>1.00000001145728</v>
      </c>
      <c r="AN23" s="28" t="n">
        <f aca="false">SUM(U23:W23)</f>
        <v>0.083232143</v>
      </c>
      <c r="AP23" s="1" t="n">
        <v>30098</v>
      </c>
    </row>
    <row r="24" customFormat="false" ht="13.8" hidden="false" customHeight="false" outlineLevel="0" collapsed="false">
      <c r="A24" s="1" t="n">
        <v>30601</v>
      </c>
      <c r="D24" s="2" t="n">
        <v>10.0013913127003</v>
      </c>
      <c r="F24" s="1" t="n">
        <v>48.4</v>
      </c>
      <c r="G24" s="1" t="n">
        <v>30.6</v>
      </c>
      <c r="H24" s="1" t="n">
        <f aca="false">G24*(1-EXP(-ABS((2.0417-0.3335*G24/F24+0.00906*F24- 0.9004*LN(J24)))))</f>
        <v>19.0954460354076</v>
      </c>
      <c r="I24" s="1" t="n">
        <v>15.4</v>
      </c>
      <c r="J24" s="29" t="n">
        <v>36.8499624494088</v>
      </c>
      <c r="K24" s="1" t="n">
        <v>72</v>
      </c>
      <c r="L24" s="1" t="n">
        <f aca="false">ROUND(K24/5,0)*5</f>
        <v>70</v>
      </c>
      <c r="M24" s="1" t="n">
        <f aca="false">(1.2644+0.1072*F24)*(1-EXP(-EXP(LN(F24/0.000001))))</f>
        <v>6.45288</v>
      </c>
      <c r="N24" s="21" t="n">
        <f aca="false">(G24-H24)/G24</f>
        <v>0.375965815836354</v>
      </c>
      <c r="O24" s="21"/>
      <c r="P24" s="21"/>
      <c r="R24" s="1" t="n">
        <f aca="false">S24/Y24</f>
        <v>1.00000002082088</v>
      </c>
      <c r="S24" s="2" t="n">
        <f aca="false">U24/0.14</f>
        <v>0.910165314285714</v>
      </c>
      <c r="T24" s="2"/>
      <c r="U24" s="22" t="n">
        <v>0.127423144</v>
      </c>
      <c r="V24" s="0"/>
      <c r="W24" s="0" t="n">
        <v>0.0093455</v>
      </c>
      <c r="X24" s="2"/>
      <c r="Y24" s="23" t="n">
        <f aca="false">(EXP($B$5 + $C$5*LN(F24) + $D$5*(LN(F24))^2 + $E$5*LN(G24) + $F$5*(LN(G24))^2 + $G$5*LN(L24)))/1000*D24*$M$5</f>
        <v>0.910165295335268</v>
      </c>
      <c r="Z24" s="24" t="n">
        <f aca="false">(EXP($B$6 + $C$6*LN(F24) + $D$6*(LN(F24))^2 + $E$6*LN(G24) + $F$6*(LN(G24))^2 + $G$6*LN(K24) + $H$6*LN(G24-H24))/1000*D24)*$M$6</f>
        <v>0.582280866035148</v>
      </c>
      <c r="AA24" s="25" t="n">
        <f aca="false">(EXP(-2.33445+$B$8*LN(F24)+$C$8*LN(N24)+$D$8*LN(M24))/1000*D24)*$M$8</f>
        <v>0.504223217313506</v>
      </c>
      <c r="AB24" s="2"/>
      <c r="AC24" s="2"/>
      <c r="AD24" s="2"/>
      <c r="AE24" s="2"/>
      <c r="AF24" s="26" t="n">
        <f aca="false">Y24*0.14</f>
        <v>0.127423141346938</v>
      </c>
      <c r="AG24" s="24" t="n">
        <f aca="false">Z24*0.14</f>
        <v>0.0815193212449207</v>
      </c>
      <c r="AH24" s="2"/>
      <c r="AI24" s="27" t="n">
        <v>0.1367686</v>
      </c>
      <c r="AJ24" s="1" t="str">
        <f aca="false">IF(AI24&lt;AF24,"-","+")</f>
        <v>+</v>
      </c>
      <c r="AK24" s="3" t="n">
        <f aca="false">AI24/AN24</f>
        <v>0.999999678288833</v>
      </c>
      <c r="AL24" s="1" t="n">
        <f aca="false">U24/AF24</f>
        <v>1.00000002082088</v>
      </c>
      <c r="AN24" s="28" t="n">
        <f aca="false">SUM(U24:W24)</f>
        <v>0.136768644</v>
      </c>
      <c r="AP24" s="1" t="n">
        <v>30601</v>
      </c>
    </row>
    <row r="25" customFormat="false" ht="13.8" hidden="false" customHeight="false" outlineLevel="0" collapsed="false">
      <c r="A25" s="1" t="n">
        <v>50001</v>
      </c>
      <c r="D25" s="2" t="n">
        <v>10.0013913127003</v>
      </c>
      <c r="F25" s="1" t="n">
        <v>37.5</v>
      </c>
      <c r="G25" s="1" t="n">
        <v>16.3</v>
      </c>
      <c r="H25" s="1" t="n">
        <f aca="false">G25*(1-EXP(-ABS((2.0417-0.3335*G25/F25+0.00906*F25- 0.9004*LN(J25)))))</f>
        <v>9.39969811656046</v>
      </c>
      <c r="I25" s="1" t="n">
        <v>3.5</v>
      </c>
      <c r="J25" s="29" t="n">
        <v>31.1423990752033</v>
      </c>
      <c r="K25" s="1" t="n">
        <v>35</v>
      </c>
      <c r="L25" s="1" t="n">
        <f aca="false">ROUND(K25/5,0)*5</f>
        <v>35</v>
      </c>
      <c r="M25" s="1" t="n">
        <f aca="false">(1.2644+0.1072*F25)*(1-EXP(-EXP(LN(F25/0.000001))))</f>
        <v>5.2844</v>
      </c>
      <c r="N25" s="21" t="n">
        <f aca="false">(G25-H25)/G25</f>
        <v>0.423331403891996</v>
      </c>
      <c r="O25" s="21"/>
      <c r="P25" s="21"/>
      <c r="R25" s="1" t="n">
        <f aca="false">S25/Y25</f>
        <v>1.00000001231307</v>
      </c>
      <c r="S25" s="2" t="n">
        <f aca="false">U25/0.14</f>
        <v>0.678477392857143</v>
      </c>
      <c r="T25" s="2"/>
      <c r="U25" s="22" t="n">
        <v>0.094986835</v>
      </c>
      <c r="V25" s="0"/>
      <c r="W25" s="0" t="n">
        <v>0.0099973</v>
      </c>
      <c r="X25" s="2"/>
      <c r="Y25" s="23" t="n">
        <f aca="false">(EXP($B$5 + $C$5*LN(F25) + $D$5*(LN(F25))^2 + $E$5*LN(G25) + $F$5*(LN(G25))^2 + $G$5*LN(L25)))/1000*D25*$M$5</f>
        <v>0.678477384503004</v>
      </c>
      <c r="Z25" s="24" t="n">
        <f aca="false">(EXP($B$6 + $C$6*LN(F25) + $D$6*(LN(F25))^2 + $E$6*LN(G25) + $F$6*(LN(G25))^2 + $G$6*LN(K25) + $H$6*LN(G25-H25))/1000*D25)*$M$6</f>
        <v>0.330720949037418</v>
      </c>
      <c r="AA25" s="25" t="n">
        <f aca="false">(EXP(-2.33445+$B$8*LN(F25)+$C$8*LN(N25)+$D$8*LN(M25))/1000*D25)*$M$8</f>
        <v>0.337331231986113</v>
      </c>
      <c r="AB25" s="2"/>
      <c r="AC25" s="2"/>
      <c r="AD25" s="2"/>
      <c r="AE25" s="2"/>
      <c r="AF25" s="26" t="n">
        <f aca="false">Y25*0.14</f>
        <v>0.0949868338304206</v>
      </c>
      <c r="AG25" s="24" t="n">
        <f aca="false">Z25*0.14</f>
        <v>0.0463009328652386</v>
      </c>
      <c r="AH25" s="2"/>
      <c r="AI25" s="27" t="n">
        <v>0.1049841</v>
      </c>
      <c r="AJ25" s="1" t="str">
        <f aca="false">IF(AI25&lt;AF25,"-","+")</f>
        <v>+</v>
      </c>
      <c r="AK25" s="3" t="n">
        <f aca="false">AI25/AN25</f>
        <v>0.999999666616294</v>
      </c>
      <c r="AL25" s="1" t="n">
        <f aca="false">U25/AF25</f>
        <v>1.00000001231307</v>
      </c>
      <c r="AN25" s="28" t="n">
        <f aca="false">SUM(U25:W25)</f>
        <v>0.104984135</v>
      </c>
      <c r="AP25" s="1" t="n">
        <v>50001</v>
      </c>
    </row>
    <row r="26" customFormat="false" ht="13.8" hidden="false" customHeight="false" outlineLevel="0" collapsed="false">
      <c r="A26" s="1" t="n">
        <v>50068</v>
      </c>
      <c r="D26" s="2" t="n">
        <v>10.0013913127003</v>
      </c>
      <c r="F26" s="1" t="n">
        <v>43.5</v>
      </c>
      <c r="G26" s="1" t="n">
        <v>31.2</v>
      </c>
      <c r="H26" s="1" t="n">
        <f aca="false">G26*(1-EXP(-ABS((2.0417-0.3335*G26/F26+0.00906*F26- 0.9004*LN(J26)))))</f>
        <v>20.4672748368663</v>
      </c>
      <c r="I26" s="1" t="n">
        <v>14.9</v>
      </c>
      <c r="J26" s="29" t="n">
        <v>37.515580408673</v>
      </c>
      <c r="K26" s="1" t="n">
        <v>70</v>
      </c>
      <c r="L26" s="1" t="n">
        <f aca="false">ROUND(K26/5,0)*5</f>
        <v>70</v>
      </c>
      <c r="M26" s="1" t="n">
        <f aca="false">(1.2644+0.1072*F26)*(1-EXP(-EXP(LN(F26/0.000001))))</f>
        <v>5.9276</v>
      </c>
      <c r="N26" s="21" t="n">
        <f aca="false">(G26-H26)/G26</f>
        <v>0.34399760138249</v>
      </c>
      <c r="O26" s="21"/>
      <c r="P26" s="21"/>
      <c r="R26" s="1" t="n">
        <f aca="false">S26/Y26</f>
        <v>1.00000002086003</v>
      </c>
      <c r="S26" s="2" t="n">
        <f aca="false">U26/0.14</f>
        <v>0.740707964285714</v>
      </c>
      <c r="T26" s="2"/>
      <c r="U26" s="22" t="n">
        <v>0.103699115</v>
      </c>
      <c r="V26" s="0"/>
      <c r="W26" s="0" t="n">
        <v>0.00756692</v>
      </c>
      <c r="X26" s="2"/>
      <c r="Y26" s="23" t="n">
        <f aca="false">(EXP($B$5 + $C$5*LN(F26) + $D$5*(LN(F26))^2 + $E$5*LN(G26) + $F$5*(LN(G26))^2 + $G$5*LN(L26)))/1000*D26*$M$5</f>
        <v>0.740707948834524</v>
      </c>
      <c r="Z26" s="24" t="n">
        <f aca="false">(EXP($B$6 + $C$6*LN(F26) + $D$6*(LN(F26))^2 + $E$6*LN(G26) + $F$6*(LN(G26))^2 + $G$6*LN(K26) + $H$6*LN(G26-H26))/1000*D26)*$M$6</f>
        <v>0.471620716656613</v>
      </c>
      <c r="AA26" s="25" t="n">
        <f aca="false">(EXP(-2.33445+$B$8*LN(F26)+$C$8*LN(N26)+$D$8*LN(M26))/1000*D26)*$M$8</f>
        <v>0.383979661892851</v>
      </c>
      <c r="AB26" s="2"/>
      <c r="AC26" s="2"/>
      <c r="AD26" s="2"/>
      <c r="AE26" s="2"/>
      <c r="AF26" s="26" t="n">
        <f aca="false">Y26*0.14</f>
        <v>0.103699112836833</v>
      </c>
      <c r="AG26" s="24" t="n">
        <f aca="false">Z26*0.14</f>
        <v>0.0660269003319258</v>
      </c>
      <c r="AH26" s="2"/>
      <c r="AI26" s="27" t="n">
        <v>0.111266</v>
      </c>
      <c r="AJ26" s="1" t="str">
        <f aca="false">IF(AI26&lt;AF26,"-","+")</f>
        <v>+</v>
      </c>
      <c r="AK26" s="3" t="n">
        <f aca="false">AI26/AN26</f>
        <v>0.999999685438598</v>
      </c>
      <c r="AL26" s="1" t="n">
        <f aca="false">U26/AF26</f>
        <v>1.00000002086003</v>
      </c>
      <c r="AN26" s="28" t="n">
        <f aca="false">SUM(U26:W26)</f>
        <v>0.111266035</v>
      </c>
      <c r="AP26" s="1" t="n">
        <v>50068</v>
      </c>
    </row>
    <row r="27" customFormat="false" ht="13.8" hidden="false" customHeight="false" outlineLevel="0" collapsed="false">
      <c r="A27" s="1" t="n">
        <v>60014</v>
      </c>
      <c r="D27" s="2" t="n">
        <v>19.9862550523052</v>
      </c>
      <c r="F27" s="1" t="n">
        <v>11.8</v>
      </c>
      <c r="G27" s="1" t="n">
        <v>9.7</v>
      </c>
      <c r="H27" s="1" t="n">
        <f aca="false">G27*(1-EXP(-ABS((2.0417-0.3335*G27/F27+0.00906*F27- 0.9004*LN(J27)))))</f>
        <v>7.26459987947737</v>
      </c>
      <c r="I27" s="1" t="n">
        <v>1.7</v>
      </c>
      <c r="J27" s="29" t="n">
        <v>37.2144675223392</v>
      </c>
      <c r="K27" s="1" t="n">
        <v>20</v>
      </c>
      <c r="L27" s="1" t="n">
        <f aca="false">ROUND(K27/5,0)*5</f>
        <v>20</v>
      </c>
      <c r="M27" s="1" t="n">
        <f aca="false">(1.2644+0.1072*F27)*(1-EXP(-EXP(LN(F27/0.000001))))</f>
        <v>2.52936</v>
      </c>
      <c r="N27" s="21" t="n">
        <f aca="false">(G27-H27)/G27</f>
        <v>0.251072177373467</v>
      </c>
      <c r="O27" s="21"/>
      <c r="P27" s="21"/>
      <c r="R27" s="1" t="n">
        <f aca="false">S27/Y27</f>
        <v>0.999999006485359</v>
      </c>
      <c r="S27" s="2" t="n">
        <f aca="false">U27/0.14</f>
        <v>0.143607857142857</v>
      </c>
      <c r="T27" s="2"/>
      <c r="U27" s="22" t="n">
        <v>0.0201051</v>
      </c>
      <c r="V27" s="0"/>
      <c r="W27" s="0" t="n">
        <v>0.00057105</v>
      </c>
      <c r="X27" s="2"/>
      <c r="Y27" s="23" t="n">
        <f aca="false">(EXP($B$5 + $C$5*LN(F27) + $D$5*(LN(F27))^2 + $E$5*LN(G27) + $F$5*(LN(G27))^2 + $G$5*LN(L27)))/1000*D27*$M$5</f>
        <v>0.143607999819508</v>
      </c>
      <c r="Z27" s="24" t="n">
        <f aca="false">(EXP($B$6 + $C$6*LN(F27) + $D$6*(LN(F27))^2 + $E$6*LN(G27) + $F$6*(LN(G27))^2 + $G$6*LN(K27) + $H$6*LN(G27-H27))/1000*D27)*$M$6</f>
        <v>0.0527599060246097</v>
      </c>
      <c r="AA27" s="25" t="n">
        <f aca="false">(EXP(-2.33445+$B$8*LN(F27)+$C$8*LN(N27)+$D$8*LN(M27))/1000*D27)*$M$8</f>
        <v>0.0529989386273826</v>
      </c>
      <c r="AB27" s="2"/>
      <c r="AC27" s="2"/>
      <c r="AD27" s="2"/>
      <c r="AE27" s="2"/>
      <c r="AF27" s="26" t="n">
        <f aca="false">Y27*0.14</f>
        <v>0.0201051199747311</v>
      </c>
      <c r="AG27" s="24" t="n">
        <f aca="false">Z27*0.14</f>
        <v>0.00738638684344536</v>
      </c>
      <c r="AH27" s="2"/>
      <c r="AI27" s="27" t="n">
        <v>0.02067617</v>
      </c>
      <c r="AJ27" s="1" t="str">
        <f aca="false">IF(AI27&lt;AF27,"-","+")</f>
        <v>+</v>
      </c>
      <c r="AK27" s="3" t="n">
        <f aca="false">AI27/AN27</f>
        <v>1.00000096729807</v>
      </c>
      <c r="AL27" s="1" t="n">
        <f aca="false">U27/AF27</f>
        <v>0.999999006485359</v>
      </c>
      <c r="AN27" s="28" t="n">
        <f aca="false">SUM(U27:W27)</f>
        <v>0.02067615</v>
      </c>
      <c r="AP27" s="1" t="n">
        <v>60014</v>
      </c>
    </row>
    <row r="28" customFormat="false" ht="13.8" hidden="false" customHeight="false" outlineLevel="0" collapsed="false">
      <c r="A28" s="1" t="n">
        <v>70143</v>
      </c>
      <c r="D28" s="2" t="n">
        <v>19.9862550523052</v>
      </c>
      <c r="F28" s="1" t="n">
        <v>27.9</v>
      </c>
      <c r="G28" s="1" t="n">
        <v>18.2</v>
      </c>
      <c r="H28" s="1" t="n">
        <f aca="false">G28*(1-EXP(-ABS((2.0417-0.3335*G28/F28+0.00906*F28- 0.9004*LN(J28)))))</f>
        <v>10.7309179359182</v>
      </c>
      <c r="I28" s="1" t="n">
        <v>4.6</v>
      </c>
      <c r="J28" s="29" t="n">
        <v>27</v>
      </c>
      <c r="K28" s="1" t="n">
        <v>60</v>
      </c>
      <c r="L28" s="1" t="n">
        <f aca="false">ROUND(K28/5,0)*5</f>
        <v>60</v>
      </c>
      <c r="M28" s="1" t="n">
        <f aca="false">(1.2644+0.1072*F28)*(1-EXP(-EXP(LN(F28/0.000001))))</f>
        <v>4.25528</v>
      </c>
      <c r="N28" s="21" t="n">
        <f aca="false">(G28-H28)/G28</f>
        <v>0.410389124400101</v>
      </c>
      <c r="O28" s="21"/>
      <c r="P28" s="21"/>
      <c r="R28" s="1" t="n">
        <f aca="false">S28/Y28</f>
        <v>0.999999976162459</v>
      </c>
      <c r="S28" s="2" t="n">
        <f aca="false">U28/0.14</f>
        <v>0.560783942857143</v>
      </c>
      <c r="T28" s="2"/>
      <c r="U28" s="22" t="n">
        <v>0.078509752</v>
      </c>
      <c r="V28" s="0"/>
      <c r="W28" s="0" t="n">
        <v>0.00589313</v>
      </c>
      <c r="X28" s="2"/>
      <c r="Y28" s="23" t="n">
        <f aca="false">(EXP($B$5 + $C$5*LN(F28) + $D$5*(LN(F28))^2 + $E$5*LN(G28) + $F$5*(LN(G28))^2 + $G$5*LN(L28)))/1000*D28*$M$5</f>
        <v>0.560783956224853</v>
      </c>
      <c r="Z28" s="24" t="n">
        <f aca="false">(EXP($B$6 + $C$6*LN(F28) + $D$6*(LN(F28))^2 + $E$6*LN(G28) + $F$6*(LN(G28))^2 + $G$6*LN(K28) + $H$6*LN(G28-H28))/1000*D28)*$M$6</f>
        <v>0.383454252224087</v>
      </c>
      <c r="AA28" s="25" t="n">
        <f aca="false">(EXP(-2.33445+$B$8*LN(F28)+$C$8*LN(N28)+$D$8*LN(M28))/1000*D28)*$M$8</f>
        <v>0.375294670859246</v>
      </c>
      <c r="AB28" s="2"/>
      <c r="AC28" s="2"/>
      <c r="AD28" s="2"/>
      <c r="AE28" s="2"/>
      <c r="AF28" s="26" t="n">
        <f aca="false">Y28*0.14</f>
        <v>0.0785097538714795</v>
      </c>
      <c r="AG28" s="24" t="n">
        <f aca="false">Z28*0.14</f>
        <v>0.0536835953113723</v>
      </c>
      <c r="AH28" s="2"/>
      <c r="AI28" s="27" t="n">
        <v>0.08440288</v>
      </c>
      <c r="AJ28" s="1" t="str">
        <f aca="false">IF(AI28&lt;AF28,"-","+")</f>
        <v>+</v>
      </c>
      <c r="AK28" s="3" t="n">
        <f aca="false">AI28/AN28</f>
        <v>0.999999976304127</v>
      </c>
      <c r="AL28" s="1" t="n">
        <f aca="false">U28/AF28</f>
        <v>0.999999976162459</v>
      </c>
      <c r="AN28" s="28" t="n">
        <f aca="false">SUM(U28:W28)</f>
        <v>0.084402882</v>
      </c>
      <c r="AP28" s="1" t="n">
        <v>70143</v>
      </c>
    </row>
    <row r="29" customFormat="false" ht="13.8" hidden="false" customHeight="false" outlineLevel="0" collapsed="false">
      <c r="A29" s="1" t="n">
        <v>80029</v>
      </c>
      <c r="D29" s="2" t="n">
        <v>10.0013913127003</v>
      </c>
      <c r="F29" s="1" t="n">
        <v>73.5</v>
      </c>
      <c r="G29" s="1" t="n">
        <v>40.7</v>
      </c>
      <c r="H29" s="1" t="n">
        <f aca="false">G29*(1-EXP(-ABS((2.0417-0.3335*G29/F29+0.00906*F29- 0.9004*LN(J29)))))</f>
        <v>21.0227238793051</v>
      </c>
      <c r="I29" s="1" t="n">
        <v>21.4</v>
      </c>
      <c r="J29" s="29" t="n">
        <v>36.9355544419272</v>
      </c>
      <c r="K29" s="1" t="n">
        <v>145</v>
      </c>
      <c r="L29" s="1" t="n">
        <f aca="false">ROUND(K29/5,0)*5</f>
        <v>145</v>
      </c>
      <c r="M29" s="1" t="n">
        <f aca="false">(1.2644+0.1072*F29)*(1-EXP(-EXP(LN(F29/0.000001))))</f>
        <v>9.1436</v>
      </c>
      <c r="N29" s="21" t="n">
        <f aca="false">(G29-H29)/G29</f>
        <v>0.483471157756631</v>
      </c>
      <c r="O29" s="21"/>
      <c r="P29" s="21"/>
      <c r="R29" s="1" t="n">
        <f aca="false">S29/Y29</f>
        <v>1.0000000159256</v>
      </c>
      <c r="S29" s="2" t="n">
        <f aca="false">U29/0.14</f>
        <v>1.71302147857143</v>
      </c>
      <c r="T29" s="2"/>
      <c r="U29" s="22" t="n">
        <v>0.239823007</v>
      </c>
      <c r="V29" s="0"/>
      <c r="W29" s="0" t="n">
        <v>0.00757377</v>
      </c>
      <c r="X29" s="2"/>
      <c r="Y29" s="23" t="n">
        <f aca="false">(EXP($B$5 + $C$5*LN(F29) + $D$5*(LN(F29))^2 + $E$5*LN(G29) + $F$5*(LN(G29))^2 + $G$5*LN(L29)))/1000*D29*$M$5</f>
        <v>1.71302145129054</v>
      </c>
      <c r="Z29" s="24" t="n">
        <f aca="false">(EXP($B$6 + $C$6*LN(F29) + $D$6*(LN(F29))^2 + $E$6*LN(G29) + $F$6*(LN(G29))^2 + $G$6*LN(K29) + $H$6*LN(G29-H29))/1000*D29)*$M$6</f>
        <v>1.55363754327698</v>
      </c>
      <c r="AA29" s="25" t="n">
        <f aca="false">(EXP(-2.33445+$B$8*LN(F29)+$C$8*LN(N29)+$D$8*LN(M29))/1000*D29)*$M$8</f>
        <v>1.37215445989162</v>
      </c>
      <c r="AB29" s="2"/>
      <c r="AC29" s="2"/>
      <c r="AD29" s="2"/>
      <c r="AE29" s="2"/>
      <c r="AF29" s="26" t="n">
        <f aca="false">Y29*0.14</f>
        <v>0.239823003180675</v>
      </c>
      <c r="AG29" s="24" t="n">
        <f aca="false">Z29*0.14</f>
        <v>0.217509256058778</v>
      </c>
      <c r="AH29" s="2"/>
      <c r="AI29" s="27" t="n">
        <v>0.2473968</v>
      </c>
      <c r="AJ29" s="1" t="str">
        <f aca="false">IF(AI29&lt;AF29,"-","+")</f>
        <v>+</v>
      </c>
      <c r="AK29" s="3" t="n">
        <f aca="false">AI29/AN29</f>
        <v>1.00000009296807</v>
      </c>
      <c r="AL29" s="1" t="n">
        <f aca="false">U29/AF29</f>
        <v>1.0000000159256</v>
      </c>
      <c r="AN29" s="28" t="n">
        <f aca="false">SUM(U29:W29)</f>
        <v>0.247396777</v>
      </c>
      <c r="AP29" s="1" t="n">
        <v>80029</v>
      </c>
    </row>
    <row r="30" customFormat="false" ht="13.8" hidden="false" customHeight="false" outlineLevel="0" collapsed="false">
      <c r="A30" s="1" t="n">
        <v>80134</v>
      </c>
      <c r="C30" s="1" t="s">
        <v>53</v>
      </c>
      <c r="D30" s="2" t="n">
        <v>100.067244232175</v>
      </c>
      <c r="F30" s="1" t="n">
        <v>7.2</v>
      </c>
      <c r="G30" s="1" t="n">
        <v>5.2</v>
      </c>
      <c r="H30" s="1" t="n">
        <f aca="false">G30*(1-EXP(-ABS((2.0417-0.3335*G30/F30+0.00906*F30- 0.9004*LN(J30)))))</f>
        <v>3.49998608577123</v>
      </c>
      <c r="I30" s="1" t="n">
        <v>0.3</v>
      </c>
      <c r="J30" s="29" t="n">
        <v>27.5</v>
      </c>
      <c r="K30" s="1" t="n">
        <v>13</v>
      </c>
      <c r="L30" s="1" t="n">
        <f aca="false">ROUND(K30/5,0)*5</f>
        <v>15</v>
      </c>
      <c r="M30" s="1" t="n">
        <f aca="false">(1.2644+0.1072*F30)*(1-EXP(-EXP(LN(F30/0.000001))))</f>
        <v>2.03624</v>
      </c>
      <c r="N30" s="21" t="n">
        <f aca="false">(G30-H30)/G30</f>
        <v>0.326925752736302</v>
      </c>
      <c r="O30" s="21"/>
      <c r="P30" s="21"/>
      <c r="R30" s="1" t="n">
        <f aca="false">S30/Y30</f>
        <v>1.00000050079659</v>
      </c>
      <c r="S30" s="2" t="n">
        <f aca="false">U30/0.14</f>
        <v>0.390031428571428</v>
      </c>
      <c r="T30" s="2"/>
      <c r="U30" s="22" t="n">
        <v>0.0546044</v>
      </c>
      <c r="V30" s="0"/>
      <c r="W30" s="0" t="n">
        <v>0.115011679</v>
      </c>
      <c r="X30" s="2"/>
      <c r="Y30" s="23" t="n">
        <f aca="false">(EXP($B$5 + $C$5*LN(F30) + $D$5*(LN(F30))^2 + $E$5*LN(G30) + $F$5*(LN(G30))^2 + $G$5*LN(L30)))/1000*D30*$M$5</f>
        <v>0.390031233245116</v>
      </c>
      <c r="Z30" s="24" t="n">
        <f aca="false">(EXP($B$6 + $C$6*LN(F30) + $D$6*(LN(F30))^2 + $E$6*LN(G30) + $F$6*(LN(G30))^2 + $G$6*LN(K30) + $H$6*LN(G30-H30))/1000*D30)*$M$6</f>
        <v>0.160260089156872</v>
      </c>
      <c r="AA30" s="25" t="n">
        <f aca="false">(EXP(-2.33445+$B$8*LN(F30)+$C$8*LN(N30)+$D$8*LN(M30))/1000*D30)*$M$8</f>
        <v>0.134457403569626</v>
      </c>
      <c r="AB30" s="2"/>
      <c r="AC30" s="2"/>
      <c r="AD30" s="2"/>
      <c r="AE30" s="2"/>
      <c r="AF30" s="26" t="n">
        <f aca="false">Y30*0.14</f>
        <v>0.0546043726543163</v>
      </c>
      <c r="AG30" s="24" t="n">
        <f aca="false">Z30*0.14</f>
        <v>0.0224364124819621</v>
      </c>
      <c r="AH30" s="2"/>
      <c r="AI30" s="30" t="n">
        <v>0.1800258</v>
      </c>
      <c r="AJ30" s="1" t="str">
        <f aca="false">IF(AI30&lt;AF30,"-","+")</f>
        <v>+</v>
      </c>
      <c r="AK30" s="3" t="n">
        <f aca="false">AI30/AN30</f>
        <v>1.06137225351141</v>
      </c>
      <c r="AL30" s="1" t="n">
        <f aca="false">U30/AF30</f>
        <v>1.00000050079659</v>
      </c>
      <c r="AN30" s="28" t="n">
        <f aca="false">SUM(U30:W30)</f>
        <v>0.169616079</v>
      </c>
      <c r="AP30" s="1" t="n">
        <v>80134</v>
      </c>
    </row>
    <row r="31" customFormat="false" ht="13.8" hidden="false" customHeight="false" outlineLevel="0" collapsed="false">
      <c r="D31" s="2" t="n">
        <v>31.8309886183791</v>
      </c>
      <c r="J31" s="29"/>
      <c r="N31" s="21"/>
      <c r="O31" s="21"/>
      <c r="P31" s="21" t="n">
        <f aca="false">Jungwuchs!K26</f>
        <v>2160.78627609225</v>
      </c>
      <c r="S31" s="2"/>
      <c r="T31" s="2"/>
      <c r="U31" s="0"/>
      <c r="V31" s="0"/>
      <c r="W31" s="0"/>
      <c r="X31" s="2"/>
      <c r="Y31" s="31" t="n">
        <f aca="false">P31/1000000*D31</f>
        <v>0.0687799633610422</v>
      </c>
      <c r="Z31" s="2"/>
      <c r="AA31" s="2"/>
      <c r="AB31" s="2"/>
      <c r="AC31" s="2"/>
      <c r="AD31" s="2"/>
      <c r="AE31" s="2"/>
      <c r="AF31" s="32" t="n">
        <f aca="false">Y31*0.14</f>
        <v>0.00962919487054591</v>
      </c>
      <c r="AG31" s="2"/>
      <c r="AH31" s="2"/>
      <c r="AI31" s="16"/>
      <c r="AJ31" s="8" t="n">
        <f aca="false">AI30-AN30</f>
        <v>0.010409721</v>
      </c>
      <c r="AK31" s="3"/>
      <c r="AO31" s="1" t="n">
        <f aca="false">AN30+AF31</f>
        <v>0.179245273870546</v>
      </c>
    </row>
    <row r="32" customFormat="false" ht="12.8" hidden="false" customHeight="false" outlineLevel="0" collapsed="false">
      <c r="D32" s="2"/>
      <c r="N32" s="21"/>
      <c r="O32" s="21"/>
      <c r="P32" s="21"/>
      <c r="S32" s="2"/>
      <c r="T32" s="2"/>
      <c r="U32" s="0"/>
      <c r="V32" s="0"/>
      <c r="W32" s="0"/>
      <c r="X32" s="2"/>
      <c r="Y32" s="16"/>
      <c r="Z32" s="16"/>
      <c r="AA32" s="16"/>
      <c r="AB32" s="16"/>
      <c r="AC32" s="16"/>
      <c r="AD32" s="16"/>
      <c r="AE32" s="16"/>
      <c r="AF32" s="33"/>
      <c r="AG32" s="2"/>
      <c r="AH32" s="2"/>
      <c r="AI32" s="17"/>
      <c r="AK32" s="3"/>
    </row>
    <row r="33" customFormat="false" ht="18.55" hidden="false" customHeight="false" outlineLevel="0" collapsed="false">
      <c r="B33" s="19" t="s">
        <v>54</v>
      </c>
      <c r="D33" s="2"/>
      <c r="N33" s="21"/>
      <c r="O33" s="21"/>
      <c r="P33" s="21"/>
      <c r="S33" s="2"/>
      <c r="T33" s="2"/>
      <c r="U33" s="0"/>
      <c r="V33" s="0"/>
      <c r="W33" s="0"/>
      <c r="X33" s="2"/>
      <c r="Y33" s="2"/>
      <c r="Z33" s="2"/>
      <c r="AA33" s="2"/>
      <c r="AB33" s="2"/>
      <c r="AC33" s="2"/>
      <c r="AD33" s="2"/>
      <c r="AE33" s="2"/>
      <c r="AF33" s="33"/>
      <c r="AG33" s="2"/>
      <c r="AH33" s="2"/>
      <c r="AI33" s="17"/>
      <c r="AK33" s="3"/>
    </row>
    <row r="34" customFormat="false" ht="13.8" hidden="false" customHeight="false" outlineLevel="0" collapsed="false">
      <c r="A34" s="1" t="n">
        <v>80058</v>
      </c>
      <c r="D34" s="2" t="n">
        <v>10.0013913127003</v>
      </c>
      <c r="F34" s="1" t="n">
        <v>65.5</v>
      </c>
      <c r="G34" s="1" t="n">
        <v>35.1</v>
      </c>
      <c r="H34" s="1" t="n">
        <f aca="false">G34*(1-EXP(-ABS((2.0417-0.3335*G34/F34+0.00906*F34- 0.9004*LN(J34)))))</f>
        <v>15.9482873063814</v>
      </c>
      <c r="I34" s="1" t="n">
        <v>20.2</v>
      </c>
      <c r="J34" s="20" t="n">
        <v>29.9928571428571</v>
      </c>
      <c r="K34" s="1" t="n">
        <v>130</v>
      </c>
      <c r="L34" s="1" t="n">
        <f aca="false">ROUND(K34/5,0)*5</f>
        <v>130</v>
      </c>
      <c r="M34" s="1" t="n">
        <f aca="false">(1.2644+0.1072*F34)*(1-EXP(-EXP(LN(F34/0.000001))))</f>
        <v>8.286</v>
      </c>
      <c r="N34" s="21" t="n">
        <f aca="false">(G34-H34)/G34</f>
        <v>0.545632840274033</v>
      </c>
      <c r="R34" s="1" t="n">
        <f aca="false">S34/Y34</f>
        <v>1.00000001936741</v>
      </c>
      <c r="S34" s="2" t="n">
        <f aca="false">U34/0.1</f>
        <v>1.32981821</v>
      </c>
      <c r="T34" s="2"/>
      <c r="U34" s="22" t="n">
        <v>0.132981821</v>
      </c>
      <c r="V34" s="0"/>
      <c r="W34" s="0" t="n">
        <v>0.0138263</v>
      </c>
      <c r="X34" s="2"/>
      <c r="Y34" s="23" t="n">
        <f aca="false">(EXP($B$5 + $C$5*LN(F34) + $D$5*(LN(F34))^2 + $E$5*LN(G34) + $F$5*(LN(G34))^2 + $G$5*LN(L34)))/1000*D34*$M$5</f>
        <v>1.32981818424486</v>
      </c>
      <c r="Z34" s="24" t="n">
        <f aca="false">(EXP($B$6 + $C$6*LN(F34) + $D$6*(LN(F34))^2 + $E$6*LN(G34) + $F$6*(LN(G34))^2 + $G$6*LN(K34) + $H$6*LN(G34-H34))/1000*D34)*$M$6</f>
        <v>1.28024949330388</v>
      </c>
      <c r="AA34" s="25" t="n">
        <f aca="false">(EXP(-2.33445+$B$8*LN(F34)+$C$8*LN(N34)+$D$8*LN(M34))/1000*D34)*$M$8</f>
        <v>1.19932033175653</v>
      </c>
      <c r="AB34" s="2"/>
      <c r="AC34" s="2"/>
      <c r="AD34" s="2"/>
      <c r="AE34" s="2"/>
      <c r="AF34" s="26" t="n">
        <f aca="false">Y34*0.1</f>
        <v>0.132981818424486</v>
      </c>
      <c r="AG34" s="24" t="n">
        <f aca="false">Z34*0.1</f>
        <v>0.128024949330388</v>
      </c>
      <c r="AH34" s="2"/>
      <c r="AI34" s="27" t="n">
        <v>0.1468081</v>
      </c>
      <c r="AJ34" s="1" t="str">
        <f aca="false">IF(AI34&lt;AF34,"-","+")</f>
        <v>+</v>
      </c>
      <c r="AK34" s="3" t="n">
        <f aca="false">AI34/AN34</f>
        <v>0.999999856956142</v>
      </c>
      <c r="AL34" s="1" t="n">
        <f aca="false">U34/AF34</f>
        <v>1.00000001936741</v>
      </c>
      <c r="AN34" s="28" t="n">
        <f aca="false">SUM(U34:W34)</f>
        <v>0.146808121</v>
      </c>
    </row>
    <row r="35" customFormat="false" ht="13.8" hidden="false" customHeight="false" outlineLevel="0" collapsed="false">
      <c r="A35" s="1" t="n">
        <v>70065</v>
      </c>
      <c r="D35" s="2" t="n">
        <v>19.9862550523052</v>
      </c>
      <c r="F35" s="1" t="n">
        <v>12.5</v>
      </c>
      <c r="G35" s="1" t="n">
        <v>7.9</v>
      </c>
      <c r="H35" s="1" t="n">
        <f aca="false">G35*(1-EXP(-ABS((2.0417-0.3335*G35/F35+0.00906*F35- 0.9004*LN(J35)))))</f>
        <v>3.78941153280227</v>
      </c>
      <c r="I35" s="1" t="n">
        <v>22</v>
      </c>
      <c r="J35" s="20" t="n">
        <v>17.9</v>
      </c>
      <c r="K35" s="1" t="n">
        <v>60</v>
      </c>
      <c r="L35" s="1" t="n">
        <f aca="false">ROUND(K35/5,0)*5</f>
        <v>60</v>
      </c>
      <c r="M35" s="1" t="n">
        <f aca="false">(1.2644+0.1072*F35)*(1-EXP(-EXP(LN(F35/0.000001))))</f>
        <v>2.6044</v>
      </c>
      <c r="N35" s="21" t="n">
        <f aca="false">(G35-H35)/G35</f>
        <v>0.520327654075661</v>
      </c>
      <c r="R35" s="1" t="n">
        <f aca="false">S35/Y35</f>
        <v>0.999998972737866</v>
      </c>
      <c r="S35" s="2" t="n">
        <f aca="false">U35/0.1</f>
        <v>0.121419</v>
      </c>
      <c r="T35" s="2"/>
      <c r="U35" s="34" t="n">
        <v>0.0121419</v>
      </c>
      <c r="V35" s="35"/>
      <c r="W35" s="36" t="n">
        <v>0.00105446</v>
      </c>
      <c r="X35" s="2"/>
      <c r="Y35" s="23" t="n">
        <f aca="false">(EXP($B$5 + $C$5*LN(F35) + $D$5*(LN(F35))^2 + $E$5*LN(G35) + $F$5*(LN(G35))^2 + $G$5*LN(L35)))/1000*D35*$M$5</f>
        <v>0.121419124729269</v>
      </c>
      <c r="Z35" s="24" t="n">
        <f aca="false">(EXP($B$6 + $C$6*LN(F35) + $D$6*(LN(F35))^2 + $E$6*LN(G35) + $F$6*(LN(G35))^2 + $G$6*LN(K35) + $H$6*LN(G35-H35))/1000*D35)*$M$6</f>
        <v>0.102555895531904</v>
      </c>
      <c r="AA35" s="25" t="n">
        <f aca="false">(EXP(-2.33445+$B$8*LN(F35)+$C$8*LN(N35)+$D$8*LN(M35))/1000*D35)*$M$8</f>
        <v>0.101492626449028</v>
      </c>
      <c r="AB35" s="2"/>
      <c r="AC35" s="2"/>
      <c r="AD35" s="2"/>
      <c r="AE35" s="2"/>
      <c r="AF35" s="26" t="n">
        <f aca="false">Y35*0.1</f>
        <v>0.0121419124729269</v>
      </c>
      <c r="AG35" s="24" t="n">
        <f aca="false">Z35*0.1</f>
        <v>0.0102555895531904</v>
      </c>
      <c r="AH35" s="2"/>
      <c r="AI35" s="27" t="n">
        <v>0.013196369</v>
      </c>
      <c r="AJ35" s="1" t="str">
        <f aca="false">IF(AI35&lt;AF35,"-","+")</f>
        <v>+</v>
      </c>
      <c r="AK35" s="3" t="n">
        <f aca="false">AI35/AN35</f>
        <v>1.00000068200625</v>
      </c>
      <c r="AN35" s="28" t="n">
        <f aca="false">SUM(U35:W35)</f>
        <v>0.01319636</v>
      </c>
    </row>
    <row r="36" customFormat="false" ht="13.8" hidden="false" customHeight="false" outlineLevel="0" collapsed="false">
      <c r="A36" s="1" t="n">
        <v>80014</v>
      </c>
      <c r="C36" s="1" t="s">
        <v>53</v>
      </c>
      <c r="D36" s="2" t="n">
        <v>10.0013913127003</v>
      </c>
      <c r="F36" s="1" t="n">
        <v>69.9</v>
      </c>
      <c r="G36" s="1" t="n">
        <v>30</v>
      </c>
      <c r="H36" s="1" t="n">
        <f aca="false">G36*(1-EXP(-ABS((2.0417-0.3335*G36/F36+0.00906*F36- 0.9004*LN(J36)))))</f>
        <v>9.22908758859163</v>
      </c>
      <c r="J36" s="20" t="n">
        <v>25.0341463414634</v>
      </c>
      <c r="K36" s="1" t="n">
        <v>130</v>
      </c>
      <c r="L36" s="1" t="n">
        <f aca="false">ROUND(K36/5,0)*5</f>
        <v>130</v>
      </c>
      <c r="M36" s="1" t="n">
        <f aca="false">(1.2644+0.1072*F36)*(1-EXP(-EXP(LN(F36/0.000001))))</f>
        <v>8.75768</v>
      </c>
      <c r="N36" s="21" t="n">
        <f aca="false">(G36-H36)/G36</f>
        <v>0.692363747046946</v>
      </c>
      <c r="R36" s="1" t="n">
        <f aca="false">S36/Y36</f>
        <v>1.00000001666244</v>
      </c>
      <c r="S36" s="2" t="n">
        <f aca="false">U36/0.1</f>
        <v>1.39408371</v>
      </c>
      <c r="T36" s="2"/>
      <c r="U36" s="22" t="n">
        <v>0.139408371</v>
      </c>
      <c r="V36" s="0"/>
      <c r="W36" s="37" t="n">
        <v>0.0151829</v>
      </c>
      <c r="X36" s="2"/>
      <c r="Y36" s="23" t="n">
        <f aca="false">(EXP($B$5 + $C$5*LN(F36) + $D$5*(LN(F36))^2 + $E$5*LN(G36) + $F$5*(LN(G36))^2 + $G$5*LN(L36)))/1000*D36*$M$5</f>
        <v>1.39408368677117</v>
      </c>
      <c r="Z36" s="24" t="n">
        <f aca="false">(EXP($B$6 + $C$6*LN(F36) + $D$6*(LN(F36))^2 + $E$6*LN(G36) + $F$6*(LN(G36))^2 + $G$6*LN(K36) + $H$6*LN(G36-H36))/1000*D36)*$M$6</f>
        <v>1.46402599598755</v>
      </c>
      <c r="AA36" s="25" t="n">
        <f aca="false">(EXP(-2.33445+$B$8*LN(F36)+$C$8*LN(N36)+$D$8*LN(M36))/1000*D36)*$M$8</f>
        <v>1.62752855927027</v>
      </c>
      <c r="AB36" s="2"/>
      <c r="AC36" s="2"/>
      <c r="AD36" s="2"/>
      <c r="AE36" s="2"/>
      <c r="AF36" s="26" t="n">
        <f aca="false">Y36*0.1</f>
        <v>0.139408368677117</v>
      </c>
      <c r="AG36" s="24" t="n">
        <f aca="false">Z36*0.1</f>
        <v>0.146402599598755</v>
      </c>
      <c r="AH36" s="2"/>
      <c r="AI36" s="30" t="n">
        <v>0.1746612282</v>
      </c>
      <c r="AJ36" s="1" t="str">
        <f aca="false">IF(AI36&lt;AF36,"-","+")</f>
        <v>+</v>
      </c>
      <c r="AK36" s="3" t="n">
        <f aca="false">AI36/AN36</f>
        <v>1.12982594081913</v>
      </c>
      <c r="AN36" s="28" t="n">
        <f aca="false">SUM(U36:W36)</f>
        <v>0.154591271</v>
      </c>
    </row>
    <row r="37" customFormat="false" ht="13.8" hidden="false" customHeight="false" outlineLevel="0" collapsed="false">
      <c r="D37" s="2" t="n">
        <v>31.8309886183791</v>
      </c>
      <c r="J37" s="20"/>
      <c r="N37" s="21"/>
      <c r="P37" s="1" t="n">
        <f aca="false">Jungwuchs!K52</f>
        <v>6478.23134467788</v>
      </c>
      <c r="S37" s="2"/>
      <c r="T37" s="2"/>
      <c r="U37" s="0"/>
      <c r="V37" s="0"/>
      <c r="W37" s="0"/>
      <c r="X37" s="2"/>
      <c r="Y37" s="31" t="n">
        <f aca="false">P37/1000000*D37</f>
        <v>0.206208508199668</v>
      </c>
      <c r="Z37" s="2"/>
      <c r="AA37" s="2"/>
      <c r="AB37" s="2"/>
      <c r="AC37" s="2"/>
      <c r="AD37" s="2"/>
      <c r="AE37" s="2"/>
      <c r="AF37" s="32" t="n">
        <f aca="false">Y37*0.1</f>
        <v>0.0206208508199668</v>
      </c>
      <c r="AG37" s="2"/>
      <c r="AH37" s="2"/>
      <c r="AI37" s="17"/>
      <c r="AJ37" s="8" t="n">
        <f aca="false">AI36-AN36</f>
        <v>0.0200699572</v>
      </c>
      <c r="AK37" s="3"/>
      <c r="AO37" s="1" t="n">
        <f aca="false">AN36+AF37</f>
        <v>0.175212121819967</v>
      </c>
    </row>
    <row r="38" customFormat="false" ht="12.8" hidden="false" customHeight="false" outlineLevel="0" collapsed="false">
      <c r="D38" s="2"/>
      <c r="S38" s="2"/>
      <c r="T38" s="2"/>
      <c r="U38" s="17"/>
      <c r="V38" s="17"/>
      <c r="W38" s="2"/>
      <c r="X38" s="2"/>
      <c r="Y38" s="0"/>
      <c r="Z38" s="0"/>
      <c r="AA38" s="0"/>
      <c r="AB38" s="0"/>
      <c r="AC38" s="0"/>
      <c r="AD38" s="0"/>
      <c r="AE38" s="0"/>
      <c r="AF38" s="17"/>
      <c r="AG38" s="2"/>
      <c r="AH38" s="2"/>
      <c r="AI38" s="17"/>
      <c r="AK38" s="3"/>
    </row>
    <row r="39" customFormat="false" ht="18.55" hidden="false" customHeight="false" outlineLevel="0" collapsed="false">
      <c r="B39" s="19" t="s">
        <v>55</v>
      </c>
      <c r="D39" s="2"/>
      <c r="J39" s="1" t="s">
        <v>56</v>
      </c>
      <c r="S39" s="2"/>
      <c r="T39" s="17"/>
      <c r="U39" s="17" t="n">
        <f aca="false">V40/U40</f>
        <v>0</v>
      </c>
      <c r="V39" s="17"/>
      <c r="W39" s="2"/>
      <c r="X39" s="2"/>
      <c r="Y39" s="16" t="n">
        <f aca="false">SUM(Y40:Y54)</f>
        <v>2.12450149916139</v>
      </c>
      <c r="Z39" s="16" t="n">
        <f aca="false">SUM(Z40:Z54)</f>
        <v>3.71088662272135</v>
      </c>
      <c r="AA39" s="16" t="n">
        <f aca="false">SUM(AA40:AA54)</f>
        <v>2.15290673188797</v>
      </c>
      <c r="AB39" s="16" t="n">
        <f aca="false">SUM(AB40:AB54)</f>
        <v>1.988966190305</v>
      </c>
      <c r="AC39" s="16" t="n">
        <f aca="false">SUM(AC40:AC54)</f>
        <v>2.94970453760483</v>
      </c>
      <c r="AD39" s="16" t="n">
        <f aca="false">SUM(AD40:AD54)</f>
        <v>1.60058748533832</v>
      </c>
      <c r="AE39" s="16" t="n">
        <f aca="false">SUM(AE40:AE54)</f>
        <v>1.47478601129262</v>
      </c>
      <c r="AF39" s="16"/>
      <c r="AG39" s="2"/>
      <c r="AH39" s="2"/>
      <c r="AI39" s="17"/>
      <c r="AK39" s="3"/>
    </row>
    <row r="40" customFormat="false" ht="12.8" hidden="false" customHeight="false" outlineLevel="0" collapsed="false">
      <c r="A40" s="1" t="n">
        <v>30111</v>
      </c>
      <c r="D40" s="2" t="n">
        <v>10.0013913127003</v>
      </c>
      <c r="F40" s="1" t="n">
        <v>38.7</v>
      </c>
      <c r="G40" s="1" t="n">
        <v>26.6</v>
      </c>
      <c r="H40" s="1" t="n">
        <f aca="false">G40*(1-EXP(-ABS((1.2085-0.2392*G40/F40+0.00742*F40- 0.7897*LN(J40)))))</f>
        <v>19.663284211856</v>
      </c>
      <c r="I40" s="1" t="n">
        <f aca="false">100/G40*(G40-H40)</f>
        <v>26.0778789027971</v>
      </c>
      <c r="J40" s="1" t="n">
        <v>29.6</v>
      </c>
      <c r="K40" s="0" t="n">
        <v>71</v>
      </c>
      <c r="M40" s="1" t="n">
        <f aca="false">(1.2783+0.11388*F40)*(1-EXP(-EXP(LN(F40/8.70522)*1.33944)))</f>
        <v>5.68189899827656</v>
      </c>
      <c r="N40" s="21" t="n">
        <f aca="false">(G40-H40)/G40</f>
        <v>0.260778789027971</v>
      </c>
      <c r="O40" s="21" t="n">
        <v>75</v>
      </c>
      <c r="P40" s="21"/>
      <c r="R40" s="21" t="n">
        <f aca="false">S40/Y40</f>
        <v>0.999999709994764</v>
      </c>
      <c r="S40" s="2" t="n">
        <f aca="false">U40*2.5</f>
        <v>0.1228825</v>
      </c>
      <c r="T40" s="2" t="n">
        <f aca="false">V40*2.5</f>
        <v>0</v>
      </c>
      <c r="U40" s="22" t="n">
        <v>0.049153</v>
      </c>
      <c r="V40" s="0"/>
      <c r="W40" s="0" t="n">
        <v>0.0016188</v>
      </c>
      <c r="X40" s="2" t="n">
        <f aca="false">(         EXP(-2.55154+$B$7*LN(F40)+$C$7*LN(G40)+$D$7*LN(M40)+$E$7*LN(N40)  +1.96*F7^0.5+1.96*G7^0.5 +1.96*H7^0.5 )         /1000*D40)*$M$7</f>
        <v>0.319484754034882</v>
      </c>
      <c r="Y40" s="25" t="n">
        <f aca="false">(EXP(-2.55154+$B$7*LN(F40)+$C$7*LN(G40)+$D$7*LN(M40)+$E$7*LN(N40))/1000*D40)*$M$7</f>
        <v>0.122882535636579</v>
      </c>
      <c r="Z40" s="38" t="n">
        <f aca="false">(EXP($B$13+$C$13*LN(F40)+$D$13*LN(G40)+$E$13*LN(100/G40*(G40-H40))))/1000*D40</f>
        <v>0.21179853364086</v>
      </c>
      <c r="AA40" s="39" t="n">
        <f aca="false">EXP($B$14+$C$14*LN(F40)+$D$14*LN(G40))/1000*D40</f>
        <v>0.148353728812079</v>
      </c>
      <c r="AB40" s="40" t="n">
        <f aca="false">($B$10+$C$10*F40^2+$D$10*F40^4)/1000*D40</f>
        <v>0.130082081145729</v>
      </c>
      <c r="AC40" s="41" t="n">
        <f aca="false">EXP(   $B$15  +  $C$15*(2+1.25*F40)/(2+1.25*F40+16)  +  $D$15*G40/(G40+1)    )/1000*D40</f>
        <v>0.203424722677376</v>
      </c>
      <c r="AD40" s="42" t="n">
        <f aca="false">(EXP(LN($B$16) + $C$16*LN(F40)  + $D$16*LN(G40) + $E$16*LN(G40-H40)))/1000*D40*$M$16</f>
        <v>0.0903967377469726</v>
      </c>
      <c r="AE40" s="42" t="n">
        <f aca="false">(EXP(LN($B$17) + $C$17*LN(F40)  + $D$17*LN(G40) +  $E$17*LN(K40)  +$F$17*LN(G40-H40)  +$G$17*LN(O40)   ))/1000*D40*$M$16</f>
        <v>0.0655127442499158</v>
      </c>
      <c r="AF40" s="43" t="n">
        <f aca="false">Y40/2.5</f>
        <v>0.0491530142546315</v>
      </c>
      <c r="AG40" s="2"/>
      <c r="AH40" s="2"/>
      <c r="AI40" s="27" t="n">
        <v>0.05077182</v>
      </c>
      <c r="AJ40" s="1" t="str">
        <f aca="false">IF(AI40&lt;AF40,"-","+")</f>
        <v>+</v>
      </c>
      <c r="AK40" s="3" t="n">
        <f aca="false">AI40/AN40</f>
        <v>1.00000039391946</v>
      </c>
      <c r="AL40" s="1" t="n">
        <f aca="false">U40/AF40</f>
        <v>0.999999709994764</v>
      </c>
      <c r="AN40" s="28" t="n">
        <f aca="false">SUM(U40:W40)</f>
        <v>0.0507718</v>
      </c>
      <c r="AP40" s="1" t="n">
        <v>30111</v>
      </c>
    </row>
    <row r="41" customFormat="false" ht="12.8" hidden="false" customHeight="false" outlineLevel="0" collapsed="false">
      <c r="A41" s="1" t="n">
        <v>30633</v>
      </c>
      <c r="D41" s="2" t="n">
        <v>10.0013913127003</v>
      </c>
      <c r="F41" s="1" t="n">
        <v>41.5</v>
      </c>
      <c r="G41" s="1" t="n">
        <v>26.6</v>
      </c>
      <c r="H41" s="1" t="n">
        <f aca="false">G41*(1-EXP(-ABS((1.2085-0.2392*G41/F41+0.00742*F41- 0.7897*LN(J41)))))</f>
        <v>18.8767865066888</v>
      </c>
      <c r="J41" s="1" t="n">
        <v>26.9</v>
      </c>
      <c r="K41" s="0" t="n">
        <v>51</v>
      </c>
      <c r="M41" s="1" t="n">
        <f aca="false">(1.2783+0.11388*F41)*(1-EXP(-EXP(LN(F41/8.70522)*1.33944)))</f>
        <v>6.00249795465907</v>
      </c>
      <c r="N41" s="1" t="n">
        <f aca="false">(G41-H41)/G41</f>
        <v>0.290346371928992</v>
      </c>
      <c r="O41" s="1" t="n">
        <v>36</v>
      </c>
      <c r="R41" s="1" t="n">
        <f aca="false">S41/Y41</f>
        <v>1.00032834208818</v>
      </c>
      <c r="S41" s="2" t="n">
        <f aca="false">U41*2.5</f>
        <v>0.14941325</v>
      </c>
      <c r="T41" s="2"/>
      <c r="U41" s="22" t="n">
        <v>0.0597653</v>
      </c>
      <c r="V41" s="0"/>
      <c r="W41" s="0" t="n">
        <v>0.0024151</v>
      </c>
      <c r="X41" s="2"/>
      <c r="Y41" s="25" t="n">
        <f aca="false">(EXP(-2.55154+$B$7*LN(F41)+$C$7*LN(G41)+$D$7*LN(M41)+$E$7*LN(N41))/1000*D41)*$M$7</f>
        <v>0.149364207444228</v>
      </c>
      <c r="Z41" s="38" t="n">
        <f aca="false">(EXP($B$13+$C$13*LN(F41)+$D$13*LN(G41)+$E$13*LN(100/G41*(G41-H41))))/1000*D41</f>
        <v>0.232282786215834</v>
      </c>
      <c r="AA41" s="39" t="n">
        <f aca="false">EXP($B$14+$C$14*LN(F41)+$D$14*LN(G41))/1000*D41</f>
        <v>0.165785073960152</v>
      </c>
      <c r="AB41" s="40" t="n">
        <f aca="false">($B$10+$C$10*F41^2+$D$10*F41^4)/1000*D41</f>
        <v>0.147911969089252</v>
      </c>
      <c r="AC41" s="41" t="n">
        <f aca="false">EXP(   $B$15  +  $C$15*(2+1.25*F41)/(2+1.25*F41+16)  +  $D$15*G41/(G41+1)    )/1000*D41</f>
        <v>0.235855227448672</v>
      </c>
      <c r="AD41" s="42" t="n">
        <f aca="false">(EXP(LN($B$16) + $C$16*LN(F41)  + $D$16*LN(G41) + $E$16*LN(G41-H41)))/1000*D41*$M$16</f>
        <v>0.104741703680788</v>
      </c>
      <c r="AE41" s="42" t="n">
        <f aca="false">(EXP(LN($B$17) + $C$17*LN(F41)  + $D$17*LN(G41) +  $E$17*LN(K41)  +$F$17*LN(G41-H41)  +$G$17*LN(O41)   ))/1000*D41*$M$16</f>
        <v>0.0628580936841304</v>
      </c>
      <c r="AF41" s="43" t="n">
        <f aca="false">Y41/2.5</f>
        <v>0.0597456829776914</v>
      </c>
      <c r="AG41" s="2"/>
      <c r="AH41" s="2"/>
      <c r="AI41" s="27" t="n">
        <v>0.06218037</v>
      </c>
      <c r="AJ41" s="1" t="str">
        <f aca="false">IF(AI41&lt;AF41,"-","+")</f>
        <v>+</v>
      </c>
      <c r="AK41" s="3" t="n">
        <f aca="false">AI41/AN41</f>
        <v>0.999999517532856</v>
      </c>
      <c r="AL41" s="1" t="n">
        <f aca="false">U41/AF41</f>
        <v>1.00032834208818</v>
      </c>
      <c r="AN41" s="28" t="n">
        <f aca="false">SUM(U41:W41)</f>
        <v>0.0621804</v>
      </c>
      <c r="AP41" s="1" t="n">
        <v>30633</v>
      </c>
    </row>
    <row r="42" customFormat="false" ht="12.8" hidden="false" customHeight="false" outlineLevel="0" collapsed="false">
      <c r="A42" s="1" t="n">
        <v>30648</v>
      </c>
      <c r="D42" s="2" t="n">
        <v>10.0013913127003</v>
      </c>
      <c r="F42" s="1" t="n">
        <v>48.4</v>
      </c>
      <c r="G42" s="1" t="n">
        <v>22.4</v>
      </c>
      <c r="H42" s="1" t="n">
        <f aca="false">G42*(1-EXP(-ABS((1.2085-0.2392*G42/F42+0.00742*F42- 0.7897*LN(J42)))))</f>
        <v>12.8806192460188</v>
      </c>
      <c r="J42" s="1" t="n">
        <v>18.7</v>
      </c>
      <c r="K42" s="0" t="n">
        <v>115</v>
      </c>
      <c r="M42" s="1" t="n">
        <f aca="false">(1.2783+0.11388*F42)*(1-EXP(-EXP(LN(F42/8.70522)*1.33944)))</f>
        <v>6.78976901921287</v>
      </c>
      <c r="N42" s="21" t="n">
        <f aca="false">(G42-H42)/G42</f>
        <v>0.424972355088446</v>
      </c>
      <c r="O42" s="21" t="n">
        <v>71</v>
      </c>
      <c r="P42" s="21"/>
      <c r="R42" s="21" t="n">
        <f aca="false">S42/Y42</f>
        <v>0.999041914161051</v>
      </c>
      <c r="S42" s="2" t="n">
        <f aca="false">U42*2.5</f>
        <v>0.26042116</v>
      </c>
      <c r="T42" s="2"/>
      <c r="U42" s="22" t="n">
        <v>0.104168464</v>
      </c>
      <c r="V42" s="0"/>
      <c r="W42" s="0" t="n">
        <v>0.00292119</v>
      </c>
      <c r="X42" s="2"/>
      <c r="Y42" s="25" t="n">
        <f aca="false">(EXP(-2.55154+$B$7*LN(F42)+$C$7*LN(G42)+$D$7*LN(M42)+$E$7*LN(N42))/1000*D42)*$M$7</f>
        <v>0.260670905102805</v>
      </c>
      <c r="Z42" s="38" t="n">
        <f aca="false">(EXP($B$13+$C$13*LN(F42)+$D$13*LN(G42)+$E$13*LN(100/G42*(G42-H42))))/1000*D42</f>
        <v>0.342687497104108</v>
      </c>
      <c r="AA42" s="39" t="n">
        <f aca="false">EXP($B$14+$C$14*LN(F42)+$D$14*LN(G42))/1000*D42</f>
        <v>0.203353922987358</v>
      </c>
      <c r="AB42" s="40" t="n">
        <f aca="false">($B$10+$C$10*F42^2+$D$10*F42^4)/1000*D42</f>
        <v>0.197209378445811</v>
      </c>
      <c r="AC42" s="41" t="n">
        <f aca="false">EXP(   $B$15  +  $C$15*(2+1.25*F42)/(2+1.25*F42+16)  +  $D$15*G42/(G42+1)    )/1000*D42</f>
        <v>0.328207252837424</v>
      </c>
      <c r="AD42" s="42" t="n">
        <f aca="false">(EXP(LN($B$16) + $C$16*LN(F42)  + $D$16*LN(G42) + $E$16*LN(G42-H42)))/1000*D42*$M$16</f>
        <v>0.163085917472219</v>
      </c>
      <c r="AE42" s="42" t="n">
        <f aca="false">(EXP(LN($B$17) + $C$17*LN(F42)  + $D$17*LN(G42) +  $E$17*LN(K42)  +$F$17*LN(G42-H42)  +$G$17*LN(O42)   ))/1000*D42*$M$16</f>
        <v>0.122326886824957</v>
      </c>
      <c r="AF42" s="43" t="n">
        <f aca="false">Y42/2.5</f>
        <v>0.104268362041122</v>
      </c>
      <c r="AG42" s="2"/>
      <c r="AH42" s="2"/>
      <c r="AI42" s="27" t="n">
        <v>0.1070897</v>
      </c>
      <c r="AJ42" s="1" t="str">
        <f aca="false">IF(AI42&lt;AF42,"-","+")</f>
        <v>+</v>
      </c>
      <c r="AK42" s="3" t="n">
        <f aca="false">AI42/AN42</f>
        <v>1.00000042954663</v>
      </c>
      <c r="AL42" s="1" t="n">
        <f aca="false">U42/AF42</f>
        <v>0.999041914161051</v>
      </c>
      <c r="AN42" s="28" t="n">
        <f aca="false">SUM(U42:W42)</f>
        <v>0.107089654</v>
      </c>
      <c r="AP42" s="1" t="n">
        <v>30648</v>
      </c>
    </row>
    <row r="43" customFormat="false" ht="12.8" hidden="false" customHeight="false" outlineLevel="0" collapsed="false">
      <c r="A43" s="1" t="n">
        <v>30652</v>
      </c>
      <c r="D43" s="2" t="n">
        <v>19.9862550523052</v>
      </c>
      <c r="F43" s="1" t="n">
        <v>10</v>
      </c>
      <c r="G43" s="1" t="n">
        <v>14.3</v>
      </c>
      <c r="H43" s="1" t="n">
        <f aca="false">G43*(1-EXP(-ABS((1.2085-0.2392*G43/F43+0.00742*F43- 0.7897*LN(J43)))))</f>
        <v>10.8879407844442</v>
      </c>
      <c r="J43" s="1" t="n">
        <v>20.2</v>
      </c>
      <c r="K43" s="0" t="n">
        <v>27</v>
      </c>
      <c r="M43" s="1" t="n">
        <f aca="false">(1.2783+0.11388*F43)*(1-EXP(-EXP(LN(F43/8.70522)*1.33944)))</f>
        <v>1.69205992325081</v>
      </c>
      <c r="N43" s="1" t="n">
        <f aca="false">(G43-H43)/G43</f>
        <v>0.238605539549356</v>
      </c>
      <c r="O43" s="1" t="n">
        <v>66</v>
      </c>
      <c r="R43" s="1" t="n">
        <f aca="false">S43/Y43</f>
        <v>0.999779722112063</v>
      </c>
      <c r="S43" s="2" t="n">
        <f aca="false">U43*2.5</f>
        <v>0.018992425</v>
      </c>
      <c r="T43" s="2"/>
      <c r="U43" s="22" t="n">
        <v>0.00759697</v>
      </c>
      <c r="V43" s="0"/>
      <c r="W43" s="0" t="n">
        <v>0.000256944</v>
      </c>
      <c r="X43" s="2"/>
      <c r="Y43" s="25" t="n">
        <f aca="false">(EXP(-2.55154+$B$7*LN(F43)+$C$7*LN(G43)+$D$7*LN(M43)+$E$7*LN(N43))/1000*D43)*$M$7</f>
        <v>0.0189966095330259</v>
      </c>
      <c r="Z43" s="38" t="n">
        <f aca="false">(EXP($B$13+$C$13*LN(F43)+$D$13*LN(G43)+$E$13*LN(100/G43*(G43-H43))))/1000*D43</f>
        <v>0.0567821801637704</v>
      </c>
      <c r="AA43" s="39" t="n">
        <f aca="false">EXP($B$14+$C$14*LN(F43)+$D$14*LN(G43))/1000*D43</f>
        <v>0.0297855757122693</v>
      </c>
      <c r="AB43" s="40" t="n">
        <f aca="false">($B$10+$C$10*F43^2+$D$10*F43^4)/1000*D43</f>
        <v>0.0385731003067425</v>
      </c>
      <c r="AC43" s="41" t="n">
        <f aca="false">EXP(   $B$15  +  $C$15*(2+1.25*F43)/(2+1.25*F43+16)  +  $D$15*G43/(G43+1)    )/1000*D43</f>
        <v>0.0139223199754876</v>
      </c>
      <c r="AD43" s="42" t="n">
        <f aca="false">(EXP(LN($B$16) + $C$16*LN(F43)  + $D$16*LN(G43) + $E$16*LN(G43-H43)))/1000*D43*$M$16</f>
        <v>0.0345400987438143</v>
      </c>
      <c r="AE43" s="42" t="n">
        <f aca="false">(EXP(LN($B$17) + $C$17*LN(F43)  + $D$17*LN(G43) +  $E$17*LN(K43)  +$F$17*LN(G43-H43)  +$G$17*LN(O43)   ))/1000*D43*$M$16</f>
        <v>0.0273328872949352</v>
      </c>
      <c r="AF43" s="43" t="n">
        <f aca="false">Y43/2.5</f>
        <v>0.00759864381321036</v>
      </c>
      <c r="AG43" s="2"/>
      <c r="AH43" s="2"/>
      <c r="AI43" s="27" t="n">
        <v>0.007853915</v>
      </c>
      <c r="AJ43" s="1" t="str">
        <f aca="false">IF(AI43&lt;AF43,"-","+")</f>
        <v>+</v>
      </c>
      <c r="AK43" s="3" t="n">
        <f aca="false">AI43/AN43</f>
        <v>1.00000012732505</v>
      </c>
      <c r="AL43" s="1" t="n">
        <f aca="false">U43/AF43</f>
        <v>0.999779722112063</v>
      </c>
      <c r="AN43" s="28" t="n">
        <f aca="false">SUM(U43:W43)</f>
        <v>0.007853914</v>
      </c>
      <c r="AP43" s="1" t="n">
        <v>30652</v>
      </c>
    </row>
    <row r="44" customFormat="false" ht="12.8" hidden="false" customHeight="false" outlineLevel="0" collapsed="false">
      <c r="A44" s="1" t="n">
        <v>50052</v>
      </c>
      <c r="D44" s="2" t="n">
        <v>10.0013913127003</v>
      </c>
      <c r="F44" s="1" t="n">
        <v>42.9</v>
      </c>
      <c r="G44" s="1" t="n">
        <v>20.8</v>
      </c>
      <c r="H44" s="1" t="n">
        <f aca="false">G44*(1-EXP(-ABS((1.2085-0.2392*G44/F44+0.00742*F44- 0.7897*LN(J44)))))</f>
        <v>13.5059992920327</v>
      </c>
      <c r="J44" s="1" t="n">
        <v>22.5</v>
      </c>
      <c r="K44" s="0" t="n">
        <v>98</v>
      </c>
      <c r="M44" s="1" t="n">
        <f aca="false">(1.2783+0.11388*F44)*(1-EXP(-EXP(LN(F44/8.70522)*1.33944)))</f>
        <v>6.16245757388728</v>
      </c>
      <c r="N44" s="1" t="n">
        <f aca="false">(G44-H44)/G44</f>
        <v>0.350673110959966</v>
      </c>
      <c r="O44" s="1" t="n">
        <v>240</v>
      </c>
      <c r="R44" s="1" t="n">
        <f aca="false">S44/Y44</f>
        <v>0.99921754416116</v>
      </c>
      <c r="S44" s="2" t="n">
        <f aca="false">U44*2.5</f>
        <v>0.1887855625</v>
      </c>
      <c r="T44" s="2"/>
      <c r="U44" s="22" t="n">
        <v>0.075514225</v>
      </c>
      <c r="V44" s="0"/>
      <c r="W44" s="0" t="n">
        <v>0.00222157</v>
      </c>
      <c r="X44" s="2"/>
      <c r="Y44" s="25" t="n">
        <f aca="false">(EXP(-2.55154+$B$7*LN(F44)+$C$7*LN(G44)+$D$7*LN(M44)+$E$7*LN(N44))/1000*D44)*$M$7</f>
        <v>0.188933394537708</v>
      </c>
      <c r="Z44" s="38" t="n">
        <f aca="false">(EXP($B$13+$C$13*LN(F44)+$D$13*LN(G44)+$E$13*LN(100/G44*(G44-H44))))/1000*D44</f>
        <v>0.330044445769924</v>
      </c>
      <c r="AA44" s="39" t="n">
        <f aca="false">EXP($B$14+$C$14*LN(F44)+$D$14*LN(G44))/1000*D44</f>
        <v>0.164960302258577</v>
      </c>
      <c r="AB44" s="40" t="n">
        <f aca="false">($B$10+$C$10*F44^2+$D$10*F44^4)/1000*D44</f>
        <v>0.157297279369545</v>
      </c>
      <c r="AC44" s="41" t="n">
        <f aca="false">EXP(   $B$15  +  $C$15*(2+1.25*F44)/(2+1.25*F44+16)  +  $D$15*G44/(G44+1)    )/1000*D44</f>
        <v>0.261041007138303</v>
      </c>
      <c r="AD44" s="42" t="n">
        <f aca="false">(EXP(LN($B$16) + $C$16*LN(F44)  + $D$16*LN(G44) + $E$16*LN(G44-H44)))/1000*D44*$M$16</f>
        <v>0.128358280513078</v>
      </c>
      <c r="AE44" s="42" t="n">
        <f aca="false">(EXP(LN($B$17) + $C$17*LN(F44)  + $D$17*LN(G44) +  $E$17*LN(K44)  +$F$17*LN(G44-H44)  +$G$17*LN(O44)   ))/1000*D44*$M$16</f>
        <v>0.119862603998006</v>
      </c>
      <c r="AF44" s="43" t="n">
        <f aca="false">Y44/2.5</f>
        <v>0.0755733578150831</v>
      </c>
      <c r="AG44" s="2"/>
      <c r="AH44" s="2"/>
      <c r="AI44" s="27" t="n">
        <v>0.0777358</v>
      </c>
      <c r="AJ44" s="1" t="str">
        <f aca="false">IF(AI44&lt;AF44,"-","+")</f>
        <v>+</v>
      </c>
      <c r="AK44" s="3" t="n">
        <f aca="false">AI44/AN44</f>
        <v>1.00000006432043</v>
      </c>
      <c r="AL44" s="1" t="n">
        <f aca="false">U44/AF44</f>
        <v>0.99921754416116</v>
      </c>
      <c r="AN44" s="28" t="n">
        <f aca="false">SUM(U44:W44)</f>
        <v>0.077735795</v>
      </c>
      <c r="AP44" s="1" t="n">
        <v>50052</v>
      </c>
    </row>
    <row r="45" customFormat="false" ht="12.8" hidden="false" customHeight="false" outlineLevel="0" collapsed="false">
      <c r="A45" s="1" t="n">
        <v>60008</v>
      </c>
      <c r="D45" s="2" t="n">
        <v>19.9862550523052</v>
      </c>
      <c r="F45" s="1" t="n">
        <v>19.7</v>
      </c>
      <c r="G45" s="1" t="n">
        <v>20.9</v>
      </c>
      <c r="H45" s="1" t="n">
        <f aca="false">G45*(1-EXP(-ABS((1.2085-0.2392*G45/F45+0.00742*F45- 0.7897*LN(J45)))))</f>
        <v>15.7744349040406</v>
      </c>
      <c r="J45" s="1" t="n">
        <v>23.9</v>
      </c>
      <c r="K45" s="0" t="n">
        <v>45</v>
      </c>
      <c r="M45" s="1" t="n">
        <f aca="false">(1.2783+0.11388*F45)*(1-EXP(-EXP(LN(F45/8.70522)*1.33944)))</f>
        <v>3.34391665431691</v>
      </c>
      <c r="N45" s="1" t="n">
        <f aca="false">(G45-H45)/G45</f>
        <v>0.245242349088965</v>
      </c>
      <c r="O45" s="1" t="n">
        <v>520</v>
      </c>
      <c r="R45" s="1" t="n">
        <f aca="false">S45/Y45</f>
        <v>1.00073996019047</v>
      </c>
      <c r="S45" s="2" t="n">
        <f aca="false">U45*2.5</f>
        <v>0.068523</v>
      </c>
      <c r="T45" s="2"/>
      <c r="U45" s="22" t="n">
        <v>0.0274092</v>
      </c>
      <c r="V45" s="0"/>
      <c r="W45" s="0" t="n">
        <v>0.00119531</v>
      </c>
      <c r="X45" s="2"/>
      <c r="Y45" s="25" t="n">
        <f aca="false">(EXP(-2.55154+$B$7*LN(F45)+$C$7*LN(G45)+$D$7*LN(M45)+$E$7*LN(N45))/1000*D45)*$M$7</f>
        <v>0.0684723331992841</v>
      </c>
      <c r="Z45" s="38" t="n">
        <f aca="false">(EXP($B$13+$C$13*LN(F45)+$D$13*LN(G45)+$E$13*LN(100/G45*(G45-H45))))/1000*D45</f>
        <v>0.140771399885097</v>
      </c>
      <c r="AA45" s="39" t="n">
        <f aca="false">EXP($B$14+$C$14*LN(F45)+$D$14*LN(G45))/1000*D45</f>
        <v>0.0957220676631296</v>
      </c>
      <c r="AB45" s="40" t="n">
        <f aca="false">($B$10+$C$10*F45^2+$D$10*F45^4)/1000*D45</f>
        <v>0.0841476528353081</v>
      </c>
      <c r="AC45" s="41" t="n">
        <f aca="false">EXP(   $B$15  +  $C$15*(2+1.25*F45)/(2+1.25*F45+16)  +  $D$15*G45/(G45+1)    )/1000*D45</f>
        <v>0.080993185960449</v>
      </c>
      <c r="AD45" s="42" t="n">
        <f aca="false">(EXP(LN($B$16) + $C$16*LN(F45)  + $D$16*LN(G45) + $E$16*LN(G45-H45)))/1000*D45*$M$16</f>
        <v>0.0770965221135295</v>
      </c>
      <c r="AE45" s="42" t="n">
        <f aca="false">(EXP(LN($B$17) + $C$17*LN(F45)  + $D$17*LN(G45) +  $E$17*LN(K45)  +$F$17*LN(G45-H45)  +$G$17*LN(O45)   ))/1000*D45*$M$16</f>
        <v>0.0786216888238982</v>
      </c>
      <c r="AF45" s="43" t="n">
        <f aca="false">Y45/2.5</f>
        <v>0.0273889332797137</v>
      </c>
      <c r="AG45" s="2"/>
      <c r="AH45" s="2"/>
      <c r="AI45" s="27" t="n">
        <v>0.02860447</v>
      </c>
      <c r="AJ45" s="1" t="str">
        <f aca="false">IF(AI45&lt;AF45,"-","+")</f>
        <v>+</v>
      </c>
      <c r="AK45" s="3" t="n">
        <f aca="false">AI45/AN45</f>
        <v>0.999998601619115</v>
      </c>
      <c r="AL45" s="1" t="n">
        <f aca="false">U45/AF45</f>
        <v>1.00073996019047</v>
      </c>
      <c r="AN45" s="28" t="n">
        <f aca="false">SUM(U45:W45)</f>
        <v>0.02860451</v>
      </c>
      <c r="AP45" s="1" t="n">
        <v>60008</v>
      </c>
    </row>
    <row r="46" customFormat="false" ht="12.8" hidden="false" customHeight="false" outlineLevel="0" collapsed="false">
      <c r="A46" s="1" t="n">
        <v>60048</v>
      </c>
      <c r="D46" s="2" t="n">
        <v>19.9862550523052</v>
      </c>
      <c r="F46" s="1" t="n">
        <v>28.4</v>
      </c>
      <c r="G46" s="1" t="n">
        <v>19.9</v>
      </c>
      <c r="H46" s="1" t="n">
        <f aca="false">G46*(1-EXP(-ABS((1.2085-0.2392*G46/F46+0.00742*F46- 0.7897*LN(J46)))))</f>
        <v>13.4450197328034</v>
      </c>
      <c r="J46" s="1" t="n">
        <v>20.3</v>
      </c>
      <c r="K46" s="0" t="n">
        <v>154</v>
      </c>
      <c r="M46" s="1" t="n">
        <f aca="false">(1.2783+0.11388*F46)*(1-EXP(-EXP(LN(F46/8.70522)*1.33944)))</f>
        <v>4.47799207385502</v>
      </c>
      <c r="N46" s="1" t="n">
        <f aca="false">(G46-H46)/G46</f>
        <v>0.324370867698321</v>
      </c>
      <c r="O46" s="1" t="n">
        <v>110</v>
      </c>
      <c r="R46" s="1" t="n">
        <f aca="false">S46/Y46</f>
        <v>0.999554874579298</v>
      </c>
      <c r="S46" s="2" t="n">
        <f aca="false">U46*2.5</f>
        <v>0.16481631</v>
      </c>
      <c r="T46" s="2"/>
      <c r="U46" s="22" t="n">
        <v>0.065926524</v>
      </c>
      <c r="V46" s="0"/>
      <c r="W46" s="0" t="n">
        <v>0.00108432</v>
      </c>
      <c r="X46" s="2"/>
      <c r="Y46" s="25" t="n">
        <f aca="false">(EXP(-2.55154+$B$7*LN(F46)+$C$7*LN(G46)+$D$7*LN(M46)+$E$7*LN(N46))/1000*D46)*$M$7</f>
        <v>0.16488970660002</v>
      </c>
      <c r="Z46" s="38" t="n">
        <f aca="false">(EXP($B$13+$C$13*LN(F46)+$D$13*LN(G46)+$E$13*LN(100/G46*(G46-H46))))/1000*D46</f>
        <v>0.292874132833514</v>
      </c>
      <c r="AA46" s="39" t="n">
        <f aca="false">EXP($B$14+$C$14*LN(F46)+$D$14*LN(G46))/1000*D46</f>
        <v>0.169295066744984</v>
      </c>
      <c r="AB46" s="40" t="n">
        <f aca="false">($B$10+$C$10*F46^2+$D$10*F46^4)/1000*D46</f>
        <v>0.150398791074841</v>
      </c>
      <c r="AC46" s="41" t="n">
        <f aca="false">EXP(   $B$15  +  $C$15*(2+1.25*F46)/(2+1.25*F46+16)  +  $D$15*G46/(G46+1)    )/1000*D46</f>
        <v>0.207803194562687</v>
      </c>
      <c r="AD46" s="42" t="n">
        <f aca="false">(EXP(LN($B$16) + $C$16*LN(F46)  + $D$16*LN(G46) + $E$16*LN(G46-H46)))/1000*D46*$M$16</f>
        <v>0.145499050803751</v>
      </c>
      <c r="AE46" s="42" t="n">
        <f aca="false">(EXP(LN($B$17) + $C$17*LN(F46)  + $D$17*LN(G46) +  $E$17*LN(K46)  +$F$17*LN(G46-H46)  +$G$17*LN(O46)   ))/1000*D46*$M$16</f>
        <v>0.136121448200983</v>
      </c>
      <c r="AF46" s="43" t="n">
        <f aca="false">Y46/2.5</f>
        <v>0.0659558826400079</v>
      </c>
      <c r="AG46" s="2"/>
      <c r="AH46" s="2"/>
      <c r="AI46" s="27" t="n">
        <v>0.06701085</v>
      </c>
      <c r="AJ46" s="1" t="str">
        <f aca="false">IF(AI46&lt;AF46,"-","+")</f>
        <v>+</v>
      </c>
      <c r="AK46" s="3" t="n">
        <f aca="false">AI46/AN46</f>
        <v>1.00000008953775</v>
      </c>
      <c r="AL46" s="1" t="n">
        <f aca="false">U46/AF46</f>
        <v>0.999554874579298</v>
      </c>
      <c r="AN46" s="28" t="n">
        <f aca="false">SUM(U46:W46)</f>
        <v>0.067010844</v>
      </c>
      <c r="AP46" s="1" t="n">
        <v>60048</v>
      </c>
    </row>
    <row r="47" customFormat="false" ht="12.8" hidden="false" customHeight="false" outlineLevel="0" collapsed="false">
      <c r="A47" s="1" t="n">
        <v>60049</v>
      </c>
      <c r="D47" s="2" t="n">
        <v>10.0013913127003</v>
      </c>
      <c r="F47" s="1" t="n">
        <v>31.1</v>
      </c>
      <c r="G47" s="1" t="n">
        <v>21.8</v>
      </c>
      <c r="H47" s="1" t="n">
        <f aca="false">G47*(1-EXP(-ABS((1.2085-0.2392*G47/F47+0.00742*F47- 0.7897*LN(J47)))))</f>
        <v>14.5860697298122</v>
      </c>
      <c r="J47" s="1" t="n">
        <v>20.3</v>
      </c>
      <c r="K47" s="0" t="n">
        <v>60</v>
      </c>
      <c r="M47" s="1" t="n">
        <f aca="false">(1.2783+0.11388*F47)*(1-EXP(-EXP(LN(F47/8.70522)*1.33944)))</f>
        <v>4.80035000946953</v>
      </c>
      <c r="N47" s="1" t="n">
        <f aca="false">(G47-H47)/G47</f>
        <v>0.330914232577422</v>
      </c>
      <c r="O47" s="1" t="n">
        <v>124</v>
      </c>
      <c r="R47" s="1" t="n">
        <f aca="false">S47/Y47</f>
        <v>0.999124146632603</v>
      </c>
      <c r="S47" s="2" t="n">
        <f aca="false">U47*2.5</f>
        <v>0.09694225</v>
      </c>
      <c r="T47" s="2"/>
      <c r="U47" s="22" t="n">
        <v>0.0387769</v>
      </c>
      <c r="V47" s="0"/>
      <c r="W47" s="0" t="n">
        <v>0.00145204</v>
      </c>
      <c r="X47" s="2"/>
      <c r="Y47" s="25" t="n">
        <f aca="false">(EXP(-2.55154+$B$7*LN(F47)+$C$7*LN(G47)+$D$7*LN(M47)+$E$7*LN(N47))/1000*D47)*$M$7</f>
        <v>0.0970272316275502</v>
      </c>
      <c r="Z47" s="38" t="n">
        <f aca="false">(EXP($B$13+$C$13*LN(F47)+$D$13*LN(G47)+$E$13*LN(100/G47*(G47-H47))))/1000*D47</f>
        <v>0.15370262792379</v>
      </c>
      <c r="AA47" s="39" t="n">
        <f aca="false">EXP($B$14+$C$14*LN(F47)+$D$14*LN(G47))/1000*D47</f>
        <v>0.0999998972105646</v>
      </c>
      <c r="AB47" s="40" t="n">
        <f aca="false">($B$10+$C$10*F47^2+$D$10*F47^4)/1000*D47</f>
        <v>0.0879969919590388</v>
      </c>
      <c r="AC47" s="41" t="n">
        <f aca="false">EXP(   $B$15  +  $C$15*(2+1.25*F47)/(2+1.25*F47+16)  +  $D$15*G47/(G47+1)    )/1000*D47</f>
        <v>0.12749405696915</v>
      </c>
      <c r="AD47" s="42" t="n">
        <f aca="false">(EXP(LN($B$16) + $C$16*LN(F47)  + $D$16*LN(G47) + $E$16*LN(G47-H47)))/1000*D47*$M$16</f>
        <v>0.0809570844390352</v>
      </c>
      <c r="AE47" s="42" t="n">
        <f aca="false">(EXP(LN($B$17) + $C$17*LN(F47)  + $D$17*LN(G47) +  $E$17*LN(K47)  +$F$17*LN(G47-H47)  +$G$17*LN(O47)   ))/1000*D47*$M$16</f>
        <v>0.0637984849323665</v>
      </c>
      <c r="AF47" s="43" t="n">
        <f aca="false">Y47/2.5</f>
        <v>0.0388108926510201</v>
      </c>
      <c r="AG47" s="2"/>
      <c r="AH47" s="2"/>
      <c r="AI47" s="27" t="n">
        <v>0.04022894</v>
      </c>
      <c r="AJ47" s="1" t="str">
        <f aca="false">IF(AI47&lt;AF47,"-","+")</f>
        <v>+</v>
      </c>
      <c r="AK47" s="3" t="n">
        <f aca="false">AI47/AN47</f>
        <v>1</v>
      </c>
      <c r="AL47" s="1" t="n">
        <f aca="false">U47/AF47</f>
        <v>0.999124146632603</v>
      </c>
      <c r="AN47" s="28" t="n">
        <f aca="false">SUM(U47:W47)</f>
        <v>0.04022894</v>
      </c>
      <c r="AP47" s="1" t="n">
        <v>60049</v>
      </c>
    </row>
    <row r="48" customFormat="false" ht="12.8" hidden="false" customHeight="false" outlineLevel="0" collapsed="false">
      <c r="A48" s="1" t="n">
        <v>60056</v>
      </c>
      <c r="D48" s="2" t="n">
        <v>10.0013913127003</v>
      </c>
      <c r="F48" s="1" t="n">
        <v>39.4</v>
      </c>
      <c r="G48" s="1" t="n">
        <v>28.9</v>
      </c>
      <c r="H48" s="1" t="n">
        <f aca="false">G48*(1-EXP(-ABS((1.2085-0.2392*G48/F48+0.00742*F48- 0.7897*LN(J48)))))</f>
        <v>21.1585246736809</v>
      </c>
      <c r="J48" s="1" t="n">
        <v>28.4</v>
      </c>
      <c r="K48" s="0" t="n">
        <v>71</v>
      </c>
      <c r="M48" s="1" t="n">
        <f aca="false">(1.2783+0.11388*F48)*(1-EXP(-EXP(LN(F48/8.70522)*1.33944)))</f>
        <v>5.76215707710117</v>
      </c>
      <c r="N48" s="1" t="n">
        <f aca="false">(G48-H48)/G48</f>
        <v>0.267871118557755</v>
      </c>
      <c r="O48" s="1" t="n">
        <v>440</v>
      </c>
      <c r="R48" s="1" t="n">
        <f aca="false">S48/Y48</f>
        <v>1.00015584490737</v>
      </c>
      <c r="S48" s="2" t="n">
        <f aca="false">U48*2.5</f>
        <v>0.12634375</v>
      </c>
      <c r="T48" s="2"/>
      <c r="U48" s="22" t="n">
        <v>0.0505375</v>
      </c>
      <c r="V48" s="0"/>
      <c r="W48" s="0" t="n">
        <v>0.00162649</v>
      </c>
      <c r="X48" s="2"/>
      <c r="Y48" s="25" t="n">
        <f aca="false">(EXP(-2.55154+$B$7*LN(F48)+$C$7*LN(G48)+$D$7*LN(M48)+$E$7*LN(N48))/1000*D48)*$M$7</f>
        <v>0.126324063038097</v>
      </c>
      <c r="Z48" s="38" t="n">
        <f aca="false">(EXP($B$13+$C$13*LN(F48)+$D$13*LN(G48)+$E$13*LN(100/G48*(G48-H48))))/1000*D48</f>
        <v>0.190180698978582</v>
      </c>
      <c r="AA48" s="39" t="n">
        <f aca="false">EXP($B$14+$C$14*LN(F48)+$D$14*LN(G48))/1000*D48</f>
        <v>0.155645554478806</v>
      </c>
      <c r="AB48" s="40" t="n">
        <f aca="false">($B$10+$C$10*F48^2+$D$10*F48^4)/1000*D48</f>
        <v>0.134422033791965</v>
      </c>
      <c r="AC48" s="41" t="n">
        <f aca="false">EXP(   $B$15  +  $C$15*(2+1.25*F48)/(2+1.25*F48+16)  +  $D$15*G48/(G48+1)    )/1000*D48</f>
        <v>0.209390766395014</v>
      </c>
      <c r="AD48" s="42" t="n">
        <f aca="false">(EXP(LN($B$16) + $C$16*LN(F48)  + $D$16*LN(G48) + $E$16*LN(G48-H48)))/1000*D48*$M$16</f>
        <v>0.0919293947614024</v>
      </c>
      <c r="AE48" s="42" t="n">
        <f aca="false">(EXP(LN($B$17) + $C$17*LN(F48)  + $D$17*LN(G48) +  $E$17*LN(K48)  +$F$17*LN(G48-H48)  +$G$17*LN(O48)   ))/1000*D48*$M$16</f>
        <v>0.0851900750520053</v>
      </c>
      <c r="AF48" s="43" t="n">
        <f aca="false">Y48/2.5</f>
        <v>0.0505296252152389</v>
      </c>
      <c r="AG48" s="2"/>
      <c r="AH48" s="2"/>
      <c r="AI48" s="27" t="n">
        <v>0.05216396</v>
      </c>
      <c r="AJ48" s="1" t="str">
        <f aca="false">IF(AI48&lt;AF48,"-","+")</f>
        <v>+</v>
      </c>
      <c r="AK48" s="3" t="n">
        <f aca="false">AI48/AN48</f>
        <v>0.999999424890619</v>
      </c>
      <c r="AL48" s="1" t="n">
        <f aca="false">U48/AF48</f>
        <v>1.00015584490737</v>
      </c>
      <c r="AN48" s="28" t="n">
        <f aca="false">SUM(U48:W48)</f>
        <v>0.05216399</v>
      </c>
      <c r="AP48" s="1" t="n">
        <v>60056</v>
      </c>
    </row>
    <row r="49" customFormat="false" ht="12.8" hidden="false" customHeight="false" outlineLevel="0" collapsed="false">
      <c r="A49" s="1" t="n">
        <v>60081</v>
      </c>
      <c r="D49" s="2" t="n">
        <v>10.0013913127003</v>
      </c>
      <c r="F49" s="1" t="n">
        <v>60</v>
      </c>
      <c r="G49" s="1" t="n">
        <v>23.6</v>
      </c>
      <c r="H49" s="1" t="n">
        <f aca="false">G49*(1-EXP(-ABS((1.2085-0.2392*G49/F49+0.00742*F49- 0.7897*LN(J49)))))</f>
        <v>15.7406189088418</v>
      </c>
      <c r="J49" s="1" t="n">
        <v>29</v>
      </c>
      <c r="K49" s="0" t="n">
        <v>172</v>
      </c>
      <c r="M49" s="1" t="n">
        <f aca="false">(1.2783+0.11388*F49)*(1-EXP(-EXP(LN(F49/8.70522)*1.33944)))</f>
        <v>8.11108603744756</v>
      </c>
      <c r="N49" s="1" t="n">
        <f aca="false">(G49-H49)/G49</f>
        <v>0.333024622506705</v>
      </c>
      <c r="O49" s="1" t="n">
        <v>450</v>
      </c>
      <c r="R49" s="1" t="n">
        <f aca="false">S49/Y49</f>
        <v>0.999980924731459</v>
      </c>
      <c r="S49" s="2" t="n">
        <f aca="false">U49*2.5</f>
        <v>0.3412263375</v>
      </c>
      <c r="T49" s="2"/>
      <c r="U49" s="22" t="n">
        <v>0.136490535</v>
      </c>
      <c r="V49" s="0"/>
      <c r="W49" s="0" t="n">
        <v>0.00161695</v>
      </c>
      <c r="X49" s="2"/>
      <c r="Y49" s="25" t="n">
        <f aca="false">(EXP(-2.55154+$B$7*LN(F49)+$C$7*LN(G49)+$D$7*LN(M49)+$E$7*LN(N49))/1000*D49)*$M$7</f>
        <v>0.341232846608184</v>
      </c>
      <c r="Z49" s="38" t="n">
        <f aca="false">(EXP($B$13+$C$13*LN(F49)+$D$13*LN(G49)+$E$13*LN(100/G49*(G49-H49))))/1000*D49</f>
        <v>0.59325727748463</v>
      </c>
      <c r="AA49" s="39" t="n">
        <f aca="false">EXP($B$14+$C$14*LN(F49)+$D$14*LN(G49))/1000*D49</f>
        <v>0.289710471611624</v>
      </c>
      <c r="AB49" s="40" t="n">
        <f aca="false">($B$10+$C$10*F49^2+$D$10*F49^4)/1000*D49</f>
        <v>0.297344928622499</v>
      </c>
      <c r="AC49" s="41" t="n">
        <f aca="false">EXP(   $B$15  +  $C$15*(2+1.25*F49)/(2+1.25*F49+16)  +  $D$15*G49/(G49+1)    )/1000*D49</f>
        <v>0.480989975083546</v>
      </c>
      <c r="AD49" s="42" t="n">
        <f aca="false">(EXP(LN($B$16) + $C$16*LN(F49)  + $D$16*LN(G49) + $E$16*LN(G49-H49)))/1000*D49*$M$16</f>
        <v>0.187384321767518</v>
      </c>
      <c r="AE49" s="42" t="n">
        <f aca="false">(EXP(LN($B$17) + $C$17*LN(F49)  + $D$17*LN(G49) +  $E$17*LN(K49)  +$F$17*LN(G49-H49)  +$G$17*LN(O49)   ))/1000*D49*$M$16</f>
        <v>0.201888188956631</v>
      </c>
      <c r="AF49" s="43" t="n">
        <f aca="false">Y49/2.5</f>
        <v>0.136493138643274</v>
      </c>
      <c r="AG49" s="2"/>
      <c r="AH49" s="2"/>
      <c r="AI49" s="27" t="n">
        <v>0.1381075</v>
      </c>
      <c r="AJ49" s="1" t="str">
        <f aca="false">IF(AI49&lt;AF49,"-","+")</f>
        <v>+</v>
      </c>
      <c r="AK49" s="3" t="n">
        <f aca="false">AI49/AN49</f>
        <v>1.00000010861106</v>
      </c>
      <c r="AL49" s="1" t="n">
        <f aca="false">U49/AF49</f>
        <v>0.999980924731459</v>
      </c>
      <c r="AN49" s="28" t="n">
        <f aca="false">SUM(U49:W49)</f>
        <v>0.138107485</v>
      </c>
      <c r="AP49" s="1" t="n">
        <v>60081</v>
      </c>
    </row>
    <row r="50" customFormat="false" ht="12.8" hidden="false" customHeight="false" outlineLevel="0" collapsed="false">
      <c r="A50" s="1" t="n">
        <v>60096</v>
      </c>
      <c r="D50" s="2" t="n">
        <v>10.0013913127003</v>
      </c>
      <c r="F50" s="1" t="n">
        <v>33.5</v>
      </c>
      <c r="G50" s="1" t="n">
        <v>20.1</v>
      </c>
      <c r="H50" s="1" t="n">
        <f aca="false">G50*(1-EXP(-ABS((1.2085-0.2392*G50/F50+0.00742*F50- 0.7897*LN(J50)))))</f>
        <v>13.6596833054445</v>
      </c>
      <c r="J50" s="1" t="n">
        <v>22.3</v>
      </c>
      <c r="K50" s="0" t="n">
        <v>106</v>
      </c>
      <c r="M50" s="1" t="n">
        <f aca="false">(1.2783+0.11388*F50)*(1-EXP(-EXP(LN(F50/8.70522)*1.33944)))</f>
        <v>5.08162956591204</v>
      </c>
      <c r="N50" s="1" t="n">
        <f aca="false">(G50-H50)/G50</f>
        <v>0.320413765898285</v>
      </c>
      <c r="O50" s="1" t="n">
        <v>360</v>
      </c>
      <c r="R50" s="1" t="n">
        <f aca="false">S50/Y50</f>
        <v>1.00079142102791</v>
      </c>
      <c r="S50" s="2" t="n">
        <f aca="false">U50*2.5</f>
        <v>0.11247275</v>
      </c>
      <c r="T50" s="2"/>
      <c r="U50" s="22" t="n">
        <v>0.0449891</v>
      </c>
      <c r="V50" s="0"/>
      <c r="W50" s="0" t="n">
        <v>0.00131175</v>
      </c>
      <c r="X50" s="2"/>
      <c r="Y50" s="25" t="n">
        <f aca="false">(EXP(-2.55154+$B$7*LN(F50)+$C$7*LN(G50)+$D$7*LN(M50)+$E$7*LN(N50))/1000*D50)*$M$7</f>
        <v>0.112383807091871</v>
      </c>
      <c r="Z50" s="38" t="n">
        <f aca="false">(EXP($B$13+$C$13*LN(F50)+$D$13*LN(G50)+$E$13*LN(100/G50*(G50-H50))))/1000*D50</f>
        <v>0.210832948775595</v>
      </c>
      <c r="AA50" s="39" t="n">
        <f aca="false">EXP($B$14+$C$14*LN(F50)+$D$14*LN(G50))/1000*D50</f>
        <v>0.110424125386527</v>
      </c>
      <c r="AB50" s="40" t="n">
        <f aca="false">($B$10+$C$10*F50^2+$D$10*F50^4)/1000*D50</f>
        <v>0.100291902757622</v>
      </c>
      <c r="AC50" s="41" t="n">
        <f aca="false">EXP(   $B$15  +  $C$15*(2+1.25*F50)/(2+1.25*F50+16)  +  $D$15*G50/(G50+1)    )/1000*D50</f>
        <v>0.153364724118435</v>
      </c>
      <c r="AD50" s="42" t="n">
        <f aca="false">(EXP(LN($B$16) + $C$16*LN(F50)  + $D$16*LN(G50) + $E$16*LN(G50-H50)))/1000*D50*$M$16</f>
        <v>0.0894756290876633</v>
      </c>
      <c r="AE50" s="42" t="n">
        <f aca="false">(EXP(LN($B$17) + $C$17*LN(F50)  + $D$17*LN(G50) +  $E$17*LN(K50)  +$F$17*LN(G50-H50)  +$G$17*LN(O50)   ))/1000*D50*$M$16</f>
        <v>0.0935827555249656</v>
      </c>
      <c r="AF50" s="43" t="n">
        <f aca="false">Y50/2.5</f>
        <v>0.0449535228367486</v>
      </c>
      <c r="AG50" s="2"/>
      <c r="AH50" s="2"/>
      <c r="AI50" s="27" t="n">
        <v>0.04630086</v>
      </c>
      <c r="AJ50" s="1" t="str">
        <f aca="false">IF(AI50&lt;AF50,"-","+")</f>
        <v>+</v>
      </c>
      <c r="AK50" s="3" t="n">
        <f aca="false">AI50/AN50</f>
        <v>1.00000021597876</v>
      </c>
      <c r="AL50" s="1" t="n">
        <f aca="false">U50/AF50</f>
        <v>1.00079142102791</v>
      </c>
      <c r="AN50" s="28" t="n">
        <f aca="false">SUM(U50:W50)</f>
        <v>0.04630085</v>
      </c>
      <c r="AP50" s="1" t="n">
        <v>60096</v>
      </c>
    </row>
    <row r="51" customFormat="false" ht="12.8" hidden="false" customHeight="false" outlineLevel="0" collapsed="false">
      <c r="A51" s="1" t="n">
        <v>60115</v>
      </c>
      <c r="D51" s="2" t="n">
        <v>10.0013913127003</v>
      </c>
      <c r="F51" s="1" t="n">
        <v>35.8</v>
      </c>
      <c r="G51" s="1" t="n">
        <v>18.4</v>
      </c>
      <c r="H51" s="1" t="n">
        <f aca="false">G51*(1-EXP(-ABS((1.2085-0.2392*G51/F51+0.00742*F51- 0.7897*LN(J51)))))</f>
        <v>12.4866514372398</v>
      </c>
      <c r="J51" s="1" t="n">
        <v>23.3</v>
      </c>
      <c r="K51" s="0" t="n">
        <v>177</v>
      </c>
      <c r="M51" s="1" t="n">
        <f aca="false">(1.2783+0.11388*F51)*(1-EXP(-EXP(LN(F51/8.70522)*1.33944)))</f>
        <v>5.34824585070946</v>
      </c>
      <c r="N51" s="1" t="n">
        <f aca="false">(G51-H51)/G51</f>
        <v>0.321377639280446</v>
      </c>
      <c r="O51" s="1" t="n">
        <v>480</v>
      </c>
      <c r="R51" s="1" t="n">
        <f aca="false">S51/Y51</f>
        <v>0.99981116272791</v>
      </c>
      <c r="S51" s="2" t="n">
        <f aca="false">U51*2.5</f>
        <v>0.130979</v>
      </c>
      <c r="T51" s="2"/>
      <c r="U51" s="22" t="n">
        <v>0.0523916</v>
      </c>
      <c r="V51" s="0"/>
      <c r="W51" s="0" t="n">
        <v>0.000515182</v>
      </c>
      <c r="X51" s="2"/>
      <c r="Y51" s="25" t="n">
        <f aca="false">(EXP(-2.55154+$B$7*LN(F51)+$C$7*LN(G51)+$D$7*LN(M51)+$E$7*LN(N51))/1000*D51)*$M$7</f>
        <v>0.131003738388591</v>
      </c>
      <c r="Z51" s="38" t="n">
        <f aca="false">(EXP($B$13+$C$13*LN(F51)+$D$13*LN(G51)+$E$13*LN(100/G51*(G51-H51))))/1000*D51</f>
        <v>0.281262872946066</v>
      </c>
      <c r="AA51" s="39" t="n">
        <f aca="false">EXP($B$14+$C$14*LN(F51)+$D$14*LN(G51))/1000*D51</f>
        <v>0.120203081859355</v>
      </c>
      <c r="AB51" s="40" t="n">
        <f aca="false">($B$10+$C$10*F51^2+$D$10*F51^4)/1000*D51</f>
        <v>0.112936105466059</v>
      </c>
      <c r="AC51" s="41" t="n">
        <f aca="false">EXP(   $B$15  +  $C$15*(2+1.25*F51)/(2+1.25*F51+16)  +  $D$15*G51/(G51+1)    )/1000*D51</f>
        <v>0.180728189347207</v>
      </c>
      <c r="AD51" s="42" t="n">
        <f aca="false">(EXP(LN($B$16) + $C$16*LN(F51)  + $D$16*LN(G51) + $E$16*LN(G51-H51)))/1000*D51*$M$16</f>
        <v>0.0998785483614925</v>
      </c>
      <c r="AE51" s="42" t="n">
        <f aca="false">(EXP(LN($B$17) + $C$17*LN(F51)  + $D$17*LN(G51) +  $E$17*LN(K51)  +$F$17*LN(G51-H51)  +$G$17*LN(O51)   ))/1000*D51*$M$16</f>
        <v>0.1214041315456</v>
      </c>
      <c r="AF51" s="43" t="n">
        <f aca="false">Y51/2.5</f>
        <v>0.0524014953554364</v>
      </c>
      <c r="AG51" s="2"/>
      <c r="AH51" s="2"/>
      <c r="AI51" s="27" t="n">
        <v>0.05290677</v>
      </c>
      <c r="AJ51" s="1" t="str">
        <f aca="false">IF(AI51&lt;AF51,"-","+")</f>
        <v>+</v>
      </c>
      <c r="AK51" s="3" t="n">
        <f aca="false">AI51/AN51</f>
        <v>0.999999773185978</v>
      </c>
      <c r="AL51" s="1" t="n">
        <f aca="false">U51/AF51</f>
        <v>0.99981116272791</v>
      </c>
      <c r="AN51" s="28" t="n">
        <f aca="false">SUM(U51:W51)</f>
        <v>0.052906782</v>
      </c>
      <c r="AP51" s="1" t="n">
        <v>60115</v>
      </c>
    </row>
    <row r="52" customFormat="false" ht="12.8" hidden="false" customHeight="false" outlineLevel="0" collapsed="false">
      <c r="A52" s="1" t="n">
        <v>70006</v>
      </c>
      <c r="D52" s="2" t="n">
        <v>19.9862550523052</v>
      </c>
      <c r="F52" s="1" t="n">
        <v>25.3</v>
      </c>
      <c r="G52" s="1" t="n">
        <v>15.3</v>
      </c>
      <c r="H52" s="1" t="n">
        <f aca="false">G52*(1-EXP(-ABS((1.2085-0.2392*G52/F52+0.00742*F52- 0.7897*LN(J52)))))</f>
        <v>9.84300808983744</v>
      </c>
      <c r="J52" s="1" t="n">
        <v>18</v>
      </c>
      <c r="K52" s="0" t="n">
        <v>37</v>
      </c>
      <c r="M52" s="1" t="n">
        <f aca="false">(1.2783+0.11388*F52)*(1-EXP(-EXP(LN(F52/8.70522)*1.33944)))</f>
        <v>4.09548726733252</v>
      </c>
      <c r="N52" s="21" t="n">
        <f aca="false">(G52-H52)/G52</f>
        <v>0.356666137919121</v>
      </c>
      <c r="O52" s="21" t="n">
        <v>475</v>
      </c>
      <c r="P52" s="21"/>
      <c r="R52" s="21" t="n">
        <f aca="false">S52/Y52</f>
        <v>1.00098012411938</v>
      </c>
      <c r="S52" s="2" t="n">
        <f aca="false">U52*2.5</f>
        <v>0.14928925</v>
      </c>
      <c r="T52" s="2"/>
      <c r="U52" s="22" t="n">
        <v>0.0597157</v>
      </c>
      <c r="V52" s="0"/>
      <c r="W52" s="0" t="n">
        <v>0.00283635</v>
      </c>
      <c r="X52" s="2"/>
      <c r="Y52" s="25" t="n">
        <f aca="false">(EXP(-2.55154+$B$7*LN(F52)+$C$7*LN(G52)+$D$7*LN(M52)+$E$7*LN(N52))/1000*D52)*$M$7</f>
        <v>0.149143071278601</v>
      </c>
      <c r="Z52" s="38" t="n">
        <f aca="false">(EXP($B$13+$C$13*LN(F52)+$D$13*LN(G52)+$E$13*LN(100/G52*(G52-H52))))/1000*D52</f>
        <v>0.323624118780508</v>
      </c>
      <c r="AA52" s="39" t="n">
        <f aca="false">EXP($B$14+$C$14*LN(F52)+$D$14*LN(G52))/1000*D52</f>
        <v>0.132435870976754</v>
      </c>
      <c r="AB52" s="40" t="n">
        <f aca="false">($B$10+$C$10*F52^2+$D$10*F52^4)/1000*D52</f>
        <v>0.124036428059053</v>
      </c>
      <c r="AC52" s="41" t="n">
        <f aca="false">EXP(   $B$15  +  $C$15*(2+1.25*F52)/(2+1.25*F52+16)  +  $D$15*G52/(G52+1)    )/1000*D52</f>
        <v>0.163466717672155</v>
      </c>
      <c r="AD52" s="42" t="n">
        <f aca="false">(EXP(LN($B$16) + $C$16*LN(F52)  + $D$16*LN(G52) + $E$16*LN(G52-H52)))/1000*D52*$M$16</f>
        <v>0.140437946082788</v>
      </c>
      <c r="AE52" s="42" t="n">
        <f aca="false">(EXP(LN($B$17) + $C$17*LN(F52)  + $D$17*LN(G52) +  $E$17*LN(K52)  +$F$17*LN(G52-H52)  +$G$17*LN(O52)   ))/1000*D52*$M$16</f>
        <v>0.139237427107754</v>
      </c>
      <c r="AF52" s="43" t="n">
        <f aca="false">Y52/2.5</f>
        <v>0.0596572285114405</v>
      </c>
      <c r="AG52" s="2"/>
      <c r="AH52" s="2"/>
      <c r="AI52" s="27" t="n">
        <v>0.06255209</v>
      </c>
      <c r="AJ52" s="1" t="str">
        <f aca="false">IF(AI52&lt;AF52,"-","+")</f>
        <v>+</v>
      </c>
      <c r="AK52" s="3" t="n">
        <f aca="false">AI52/AN52</f>
        <v>1.00000063946745</v>
      </c>
      <c r="AL52" s="1" t="n">
        <f aca="false">U52/AF52</f>
        <v>1.00098012411938</v>
      </c>
      <c r="AN52" s="28" t="n">
        <f aca="false">SUM(U52:W52)</f>
        <v>0.06255205</v>
      </c>
      <c r="AP52" s="1" t="n">
        <v>70006</v>
      </c>
    </row>
    <row r="53" customFormat="false" ht="12.8" hidden="false" customHeight="false" outlineLevel="0" collapsed="false">
      <c r="A53" s="1" t="n">
        <v>70028</v>
      </c>
      <c r="D53" s="2" t="n">
        <v>10.0013913127003</v>
      </c>
      <c r="F53" s="1" t="n">
        <v>37</v>
      </c>
      <c r="G53" s="1" t="n">
        <v>24.7</v>
      </c>
      <c r="H53" s="1" t="n">
        <f aca="false">G53*(1-EXP(-ABS((1.2085-0.2392*G53/F53+0.00742*F53- 0.7897*LN(J53)))))</f>
        <v>18.0226635047026</v>
      </c>
      <c r="J53" s="1" t="n">
        <v>28</v>
      </c>
      <c r="K53" s="0" t="n">
        <v>48</v>
      </c>
      <c r="M53" s="1" t="n">
        <f aca="false">(1.2783+0.11388*F53)*(1-EXP(-EXP(LN(F53/8.70522)*1.33944)))</f>
        <v>5.4865741032008</v>
      </c>
      <c r="N53" s="1" t="n">
        <f aca="false">(G53-H53)/G53</f>
        <v>0.270337509931067</v>
      </c>
      <c r="O53" s="1" t="n">
        <v>470</v>
      </c>
      <c r="R53" s="1" t="n">
        <f aca="false">S53/Y53</f>
        <v>1.00031421623334</v>
      </c>
      <c r="S53" s="2" t="n">
        <f aca="false">U53*2.5</f>
        <v>0.11727025</v>
      </c>
      <c r="T53" s="2"/>
      <c r="U53" s="22" t="n">
        <v>0.0469081</v>
      </c>
      <c r="V53" s="0"/>
      <c r="W53" s="0" t="n">
        <v>0.00190387</v>
      </c>
      <c r="X53" s="2"/>
      <c r="Y53" s="25" t="n">
        <f aca="false">(EXP(-2.55154+$B$7*LN(F53)+$C$7*LN(G53)+$D$7*LN(M53)+$E$7*LN(N53))/1000*D53)*$M$7</f>
        <v>0.117233413358433</v>
      </c>
      <c r="Z53" s="38" t="n">
        <f aca="false">(EXP($B$13+$C$13*LN(F53)+$D$13*LN(G53)+$E$13*LN(100/G53*(G53-H53))))/1000*D53</f>
        <v>0.210690846429197</v>
      </c>
      <c r="AA53" s="39" t="n">
        <f aca="false">EXP($B$14+$C$14*LN(F53)+$D$14*LN(G53))/1000*D53</f>
        <v>0.13574208917612</v>
      </c>
      <c r="AB53" s="40" t="n">
        <f aca="false">($B$10+$C$10*F53^2+$D$10*F53^4)/1000*D53</f>
        <v>0.119868123853072</v>
      </c>
      <c r="AC53" s="41" t="n">
        <f aca="false">EXP(   $B$15  +  $C$15*(2+1.25*F53)/(2+1.25*F53+16)  +  $D$15*G53/(G53+1)    )/1000*D53</f>
        <v>0.186190605022644</v>
      </c>
      <c r="AD53" s="42" t="n">
        <f aca="false">(EXP(LN($B$16) + $C$16*LN(F53)  + $D$16*LN(G53) + $E$16*LN(G53-H53)))/1000*D53*$M$16</f>
        <v>0.0885008802762937</v>
      </c>
      <c r="AE53" s="42" t="n">
        <f aca="false">(EXP(LN($B$17) + $C$17*LN(F53)  + $D$17*LN(G53) +  $E$17*LN(K53)  +$F$17*LN(G53-H53)  +$G$17*LN(O53)   ))/1000*D53*$M$16</f>
        <v>0.0813837659303247</v>
      </c>
      <c r="AF53" s="43" t="n">
        <f aca="false">Y53/2.5</f>
        <v>0.0468933653433733</v>
      </c>
      <c r="AG53" s="2"/>
      <c r="AH53" s="2"/>
      <c r="AI53" s="27" t="n">
        <v>0.048812</v>
      </c>
      <c r="AJ53" s="1" t="str">
        <f aca="false">IF(AI53&lt;AF53,"-","+")</f>
        <v>+</v>
      </c>
      <c r="AK53" s="3" t="n">
        <f aca="false">AI53/AN53</f>
        <v>1.00000061460334</v>
      </c>
      <c r="AL53" s="1" t="n">
        <f aca="false">U53/AF53</f>
        <v>1.00031421623334</v>
      </c>
      <c r="AN53" s="28" t="n">
        <f aca="false">SUM(U53:W53)</f>
        <v>0.04881197</v>
      </c>
      <c r="AP53" s="1" t="n">
        <v>70028</v>
      </c>
    </row>
    <row r="54" customFormat="false" ht="12.8" hidden="false" customHeight="false" outlineLevel="0" collapsed="false">
      <c r="A54" s="1" t="n">
        <v>160098</v>
      </c>
      <c r="D54" s="2" t="n">
        <v>19.9862550523052</v>
      </c>
      <c r="F54" s="1" t="n">
        <v>23</v>
      </c>
      <c r="G54" s="1" t="n">
        <v>28.3</v>
      </c>
      <c r="H54" s="1" t="n">
        <f aca="false">G54*(1-EXP(-ABS((1.2085-0.2392*G54/F54+0.00742*F54- 0.7897*LN(J54)))))</f>
        <v>22.681087737501</v>
      </c>
      <c r="J54" s="1" t="n">
        <v>30.6</v>
      </c>
      <c r="K54" s="0" t="n">
        <v>61</v>
      </c>
      <c r="M54" s="1" t="n">
        <f aca="false">(1.2783+0.11388*F54)*(1-EXP(-EXP(LN(F54/8.70522)*1.33944)))</f>
        <v>3.79867010041093</v>
      </c>
      <c r="N54" s="1" t="n">
        <f aca="false">(G54-H54)/G54</f>
        <v>0.198548136484062</v>
      </c>
      <c r="O54" s="1" t="n">
        <v>400</v>
      </c>
      <c r="R54" s="1" t="n">
        <f aca="false">S54/Y54</f>
        <v>1.0001430571961</v>
      </c>
      <c r="S54" s="2" t="n">
        <f aca="false">U54*2.5</f>
        <v>0.0759545</v>
      </c>
      <c r="T54" s="2"/>
      <c r="U54" s="22" t="n">
        <v>0.0303818</v>
      </c>
      <c r="V54" s="0"/>
      <c r="W54" s="0" t="n">
        <v>0.00108517</v>
      </c>
      <c r="X54" s="2"/>
      <c r="Y54" s="25" t="n">
        <f aca="false">(EXP(-2.55154+$B$7*LN(F54)+$C$7*LN(G54)+$D$7*LN(M54)+$E$7*LN(N54))/1000*D54)*$M$7</f>
        <v>0.0759436357164131</v>
      </c>
      <c r="Z54" s="38" t="n">
        <f aca="false">(EXP($B$13+$C$13*LN(F54)+$D$13*LN(G54)+$E$13*LN(100/G54*(G54-H54))))/1000*D54</f>
        <v>0.140094255789871</v>
      </c>
      <c r="AA54" s="39" t="n">
        <f aca="false">EXP($B$14+$C$14*LN(F54)+$D$14*LN(G54))/1000*D54</f>
        <v>0.131489903049676</v>
      </c>
      <c r="AB54" s="40" t="n">
        <f aca="false">($B$10+$C$10*F54^2+$D$10*F54^4)/1000*D54</f>
        <v>0.106449423528459</v>
      </c>
      <c r="AC54" s="41" t="n">
        <f aca="false">EXP(   $B$15  +  $C$15*(2+1.25*F54)/(2+1.25*F54+16)  +  $D$15*G54/(G54+1)    )/1000*D54</f>
        <v>0.116832592396279</v>
      </c>
      <c r="AD54" s="42" t="n">
        <f aca="false">(EXP(LN($B$16) + $C$16*LN(F54)  + $D$16*LN(G54) + $E$16*LN(G54-H54)))/1000*D54*$M$16</f>
        <v>0.0783053694879747</v>
      </c>
      <c r="AE54" s="42" t="n">
        <f aca="false">(EXP(LN($B$17) + $C$17*LN(F54)  + $D$17*LN(G54) +  $E$17*LN(K54)  +$F$17*LN(G54-H54)  +$G$17*LN(O54)   ))/1000*D54*$M$16</f>
        <v>0.0756648291661422</v>
      </c>
      <c r="AF54" s="43" t="n">
        <f aca="false">Y54/2.5</f>
        <v>0.0303774542865652</v>
      </c>
      <c r="AG54" s="2"/>
      <c r="AH54" s="2"/>
      <c r="AI54" s="27" t="n">
        <v>0.031467</v>
      </c>
      <c r="AJ54" s="1" t="s">
        <v>57</v>
      </c>
      <c r="AK54" s="3" t="n">
        <f aca="false">AI54/AN54</f>
        <v>1.00000095338064</v>
      </c>
      <c r="AL54" s="1" t="n">
        <f aca="false">U54/AF54</f>
        <v>1.0001430571961</v>
      </c>
      <c r="AN54" s="28" t="n">
        <f aca="false">SUM(U54:W54)</f>
        <v>0.03146697</v>
      </c>
      <c r="AP54" s="1" t="n">
        <v>160098</v>
      </c>
    </row>
    <row r="55" customFormat="false" ht="12.8" hidden="false" customHeight="false" outlineLevel="0" collapsed="false">
      <c r="A55" s="1" t="n">
        <v>120017</v>
      </c>
      <c r="D55" s="2" t="n">
        <v>10.0013913127003</v>
      </c>
      <c r="F55" s="0" t="n">
        <v>35.8</v>
      </c>
      <c r="G55" s="1" t="n">
        <v>20.6</v>
      </c>
      <c r="H55" s="1" t="n">
        <f aca="false">G55*(1-EXP(-ABS((1.2085-0.2392*G55/F55+0.00742*F55- 0.7897*LN(J55)))))</f>
        <v>13.409832341315</v>
      </c>
      <c r="J55" s="1" t="n">
        <v>20.6</v>
      </c>
      <c r="K55" s="44" t="n">
        <v>90</v>
      </c>
      <c r="M55" s="1" t="n">
        <f aca="false">(1.2783+0.11388*F55)*(1-EXP(-EXP(LN(F55/8.70522)*1.33944)))</f>
        <v>5.34824585070946</v>
      </c>
      <c r="N55" s="1" t="n">
        <f aca="false">(G55-H55)/G55</f>
        <v>0.34903726498471</v>
      </c>
      <c r="O55" s="1" t="n">
        <v>58</v>
      </c>
      <c r="S55" s="0"/>
      <c r="T55" s="0"/>
      <c r="U55" s="0"/>
      <c r="V55" s="0"/>
      <c r="W55" s="0"/>
      <c r="X55" s="2"/>
      <c r="Y55" s="25" t="n">
        <f aca="false">(EXP(-2.55154+$B$7*LN(F55)+$C$7*LN(G55)+$D$7*LN(M55)+$E$7*LN(N55))/1000*D55)*$M$7</f>
        <v>0.133126027286569</v>
      </c>
      <c r="Z55" s="38" t="n">
        <f aca="false">(EXP($B$13+$C$13*LN(F55)+$D$13*LN(G55)+$E$13*LN(100/G55*(G55-H55))))/1000*D55</f>
        <v>0.22358449489595</v>
      </c>
      <c r="AA55" s="39" t="n">
        <f aca="false">EXP($B$14+$C$14*LN(F55)+$D$14*LN(G55))/1000*D55</f>
        <v>0.123433428873037</v>
      </c>
      <c r="AB55" s="40" t="n">
        <f aca="false">($B$10+$C$10*F55^2+$D$10*F55^4)/1000*D55</f>
        <v>0.112936105466059</v>
      </c>
      <c r="AC55" s="41" t="n">
        <f aca="false">EXP(   $B$15  +  $C$15*(2+1.25*F55)/(2+1.25*F55+16)  +  $D$15*G55/(G55+1)    )/1000*D55</f>
        <v>0.177516774781753</v>
      </c>
      <c r="AD55" s="42" t="n">
        <f aca="false">(EXP(LN($B$16) + $C$16*LN(F55)  + $D$16*LN(G55) + $E$16*LN(G55-H55)))/1000*D55*$M$16</f>
        <v>0.101413172612286</v>
      </c>
      <c r="AE55" s="42" t="n">
        <f aca="false">(EXP(LN($B$17) + $C$17*LN(F55)  + $D$17*LN(G55) +  $E$17*LN(K55)  +$F$17*LN(G55-H55)  +$G$17*LN(O55)   ))/1000*D55*$M$16</f>
        <v>0.0759642918336034</v>
      </c>
      <c r="AF55" s="43" t="n">
        <f aca="false">Y55/2.5</f>
        <v>0.0532504109146275</v>
      </c>
      <c r="AG55" s="2"/>
      <c r="AH55" s="2"/>
      <c r="AI55" s="2"/>
      <c r="AJ55" s="2"/>
      <c r="AK55" s="3"/>
    </row>
    <row r="56" customFormat="false" ht="12.8" hidden="false" customHeight="false" outlineLevel="0" collapsed="false">
      <c r="D56" s="2" t="n">
        <v>10.0013913127003</v>
      </c>
      <c r="F56" s="0" t="n">
        <v>33</v>
      </c>
      <c r="G56" s="1" t="n">
        <v>20.6</v>
      </c>
      <c r="H56" s="1" t="n">
        <f aca="false">G56*(1-EXP(-ABS(1.2085-0.2392*G56/F56+0.00742*F56- 0.7897*LN(J56))))</f>
        <v>13.6394400384134</v>
      </c>
      <c r="J56" s="1" t="n">
        <v>20.6</v>
      </c>
      <c r="K56" s="44" t="n">
        <v>90</v>
      </c>
      <c r="M56" s="1" t="n">
        <f aca="false">(1.2783+0.11388*F56)*(1-EXP(-EXP(LN(F56/8.70522)*1.33944)))</f>
        <v>5.0233348170682</v>
      </c>
      <c r="N56" s="1" t="n">
        <f aca="false">(G56-H56)/G56</f>
        <v>0.337891260271196</v>
      </c>
      <c r="O56" s="1" t="n">
        <v>58</v>
      </c>
      <c r="S56" s="2"/>
      <c r="T56" s="2"/>
      <c r="U56" s="2"/>
      <c r="V56" s="2"/>
      <c r="W56" s="2"/>
      <c r="X56" s="2"/>
      <c r="Y56" s="25" t="n">
        <f aca="false">(EXP(-2.55154+$B$7*LN(F56)+$C$7*LN(G56)+$D$7*LN(M56)+$E$7*LN(N56))/1000*D56)*$M$7</f>
        <v>0.11172330630291</v>
      </c>
      <c r="Z56" s="38" t="n">
        <f aca="false">(EXP($B$13+$C$13*LN(F56)+$D$13*LN(G56)+$E$13*LN(100/G56*(G56-H56))))/1000*D56</f>
        <v>0.189798507992418</v>
      </c>
      <c r="AA56" s="39" t="n">
        <f aca="false">EXP($B$14+$C$14*LN(F56)+$D$14*LN(G56))/1000*D56</f>
        <v>0.108438427884602</v>
      </c>
      <c r="AB56" s="40" t="n">
        <f aca="false">($B$10+$C$10*F56^2+$D$10*F56^4)/1000*D56</f>
        <v>0.0976547766582006</v>
      </c>
      <c r="AC56" s="41" t="n">
        <f aca="false">EXP(   $B$15  +  $C$15*(2+1.25*F56)/(2+1.25*F56+16)  +  $D$15*G56/(G56+1)    )/1000*D56</f>
        <v>0.147604905484929</v>
      </c>
      <c r="AD56" s="42" t="n">
        <f aca="false">(EXP(LN($B$16) + $C$16*LN(F56)  + $D$16*LN(G56) + $E$16*LN(G56-H56)))/1000*D56*$M$16</f>
        <v>0.0896703979704395</v>
      </c>
      <c r="AE56" s="42" t="n">
        <f aca="false">(EXP(LN($B$17) + $C$17*LN(F56)  + $D$17*LN(G56) +  $E$17*LN(K56)  +$F$17*LN(G56-H56)  +$G$17*LN(O56)   ))/1000*D56*$M$16</f>
        <v>0.0678127851178152</v>
      </c>
      <c r="AF56" s="43" t="n">
        <f aca="false">Y56/2.5</f>
        <v>0.0446893225211639</v>
      </c>
      <c r="AG56" s="2"/>
      <c r="AH56" s="2"/>
      <c r="AI56" s="2"/>
      <c r="AJ56" s="2"/>
      <c r="AK56" s="3"/>
    </row>
    <row r="57" customFormat="false" ht="12.8" hidden="false" customHeight="false" outlineLevel="0" collapsed="false">
      <c r="D57" s="2" t="n">
        <v>10.0013913127003</v>
      </c>
      <c r="F57" s="0" t="n">
        <v>34</v>
      </c>
      <c r="G57" s="1" t="n">
        <v>20.6</v>
      </c>
      <c r="H57" s="1" t="n">
        <f aca="false">G57*(1-EXP(-ABS(1.2085-0.2392*G57/F57+0.00742*F57- 0.7897*LN(J57))))</f>
        <v>13.556736314631</v>
      </c>
      <c r="J57" s="1" t="n">
        <v>20.6</v>
      </c>
      <c r="K57" s="44" t="n">
        <v>90</v>
      </c>
      <c r="M57" s="1" t="n">
        <f aca="false">(1.2783+0.11388*F57)*(1-EXP(-EXP(LN(F57/8.70522)*1.33944)))</f>
        <v>5.13979091976742</v>
      </c>
      <c r="N57" s="1" t="n">
        <f aca="false">(G57-H57)/G57</f>
        <v>0.341906004144129</v>
      </c>
      <c r="O57" s="1" t="n">
        <v>58</v>
      </c>
      <c r="S57" s="2"/>
      <c r="T57" s="2"/>
      <c r="U57" s="2"/>
      <c r="V57" s="2"/>
      <c r="W57" s="2"/>
      <c r="X57" s="2"/>
      <c r="Y57" s="25" t="n">
        <f aca="false">(EXP(-2.55154+$B$7*LN(F57)+$C$7*LN(G57)+$D$7*LN(M57)+$E$7*LN(N57))/1000*D57)*$M$7</f>
        <v>0.119128763678081</v>
      </c>
      <c r="Z57" s="38" t="n">
        <f aca="false">(EXP($B$13+$C$13*LN(F57)+$D$13*LN(G57)+$E$13*LN(100/G57*(G57-H57))))/1000*D57</f>
        <v>0.201555955778431</v>
      </c>
      <c r="AA57" s="39" t="n">
        <f aca="false">EXP($B$14+$C$14*LN(F57)+$D$14*LN(G57))/1000*D57</f>
        <v>0.113710925353406</v>
      </c>
      <c r="AB57" s="40" t="n">
        <f aca="false">($B$10+$C$10*F57^2+$D$10*F57^4)/1000*D57</f>
        <v>0.102968880265181</v>
      </c>
      <c r="AC57" s="41" t="n">
        <f aca="false">EXP(   $B$15  +  $C$15*(2+1.25*F57)/(2+1.25*F57+16)  +  $D$15*G57/(G57+1)    )/1000*D57</f>
        <v>0.158046956536147</v>
      </c>
      <c r="AD57" s="42" t="n">
        <f aca="false">(EXP(LN($B$16) + $C$16*LN(F57)  + $D$16*LN(G57) + $E$16*LN(G57-H57)))/1000*D57*$M$16</f>
        <v>0.0938038762344295</v>
      </c>
      <c r="AE57" s="42" t="n">
        <f aca="false">(EXP(LN($B$17) + $C$17*LN(F57)  + $D$17*LN(G57) +  $E$17*LN(K57)  +$F$17*LN(G57-H57)  +$G$17*LN(O57)   ))/1000*D57*$M$16</f>
        <v>0.0706917119952301</v>
      </c>
      <c r="AF57" s="43" t="n">
        <f aca="false">Y57/2.5</f>
        <v>0.0476515054712325</v>
      </c>
      <c r="AG57" s="2"/>
      <c r="AH57" s="2"/>
      <c r="AI57" s="2"/>
      <c r="AJ57" s="2"/>
      <c r="AK57" s="3"/>
    </row>
    <row r="58" customFormat="false" ht="12.8" hidden="false" customHeight="false" outlineLevel="0" collapsed="false">
      <c r="D58" s="2" t="n">
        <v>10.0013913127003</v>
      </c>
      <c r="F58" s="0" t="n">
        <v>33.1</v>
      </c>
      <c r="G58" s="1" t="n">
        <v>20.6</v>
      </c>
      <c r="H58" s="1" t="n">
        <f aca="false">G58*(1-EXP(-ABS(1.2085-0.2392*G58/F58+0.00742*F58- 0.7897*LN(J58))))</f>
        <v>13.6311303395184</v>
      </c>
      <c r="J58" s="1" t="n">
        <v>20.6</v>
      </c>
      <c r="K58" s="44" t="n">
        <v>90</v>
      </c>
      <c r="M58" s="1" t="n">
        <f aca="false">(1.2783+0.11388*F58)*(1-EXP(-EXP(LN(F58/8.70522)*1.33944)))</f>
        <v>5.03500505883552</v>
      </c>
      <c r="N58" s="1" t="n">
        <f aca="false">(G58-H58)/G58</f>
        <v>0.3382946437127</v>
      </c>
      <c r="O58" s="1" t="n">
        <v>58</v>
      </c>
      <c r="S58" s="2"/>
      <c r="T58" s="2"/>
      <c r="U58" s="2"/>
      <c r="V58" s="2"/>
      <c r="W58" s="2"/>
      <c r="X58" s="2"/>
      <c r="Y58" s="25" t="n">
        <f aca="false">(EXP(-2.55154+$B$7*LN(F58)+$C$7*LN(G58)+$D$7*LN(M58)+$E$7*LN(N58))/1000*D58)*$M$7</f>
        <v>0.112452067571575</v>
      </c>
      <c r="Z58" s="38" t="n">
        <f aca="false">(EXP($B$13+$C$13*LN(F58)+$D$13*LN(G58)+$E$13*LN(100/G58*(G58-H58))))/1000*D58</f>
        <v>0.19095871832089</v>
      </c>
      <c r="AA58" s="39" t="n">
        <f aca="false">EXP($B$14+$C$14*LN(F58)+$D$14*LN(G58))/1000*D58</f>
        <v>0.108961489502214</v>
      </c>
      <c r="AB58" s="40" t="n">
        <f aca="false">($B$10+$C$10*F58^2+$D$10*F58^4)/1000*D58</f>
        <v>0.0981790141809931</v>
      </c>
      <c r="AC58" s="41" t="n">
        <f aca="false">EXP(   $B$15  +  $C$15*(2+1.25*F58)/(2+1.25*F58+16)  +  $D$15*G58/(G58+1)    )/1000*D58</f>
        <v>0.148636534663694</v>
      </c>
      <c r="AD58" s="42" t="n">
        <f aca="false">(EXP(LN($B$16) + $C$16*LN(F58)  + $D$16*LN(G58) + $E$16*LN(G58-H58)))/1000*D58*$M$16</f>
        <v>0.0900807192461711</v>
      </c>
      <c r="AE58" s="42" t="n">
        <f aca="false">(EXP(LN($B$17) + $C$17*LN(F58)  + $D$17*LN(G58) +  $E$17*LN(K58)  +$F$17*LN(G58-H58)  +$G$17*LN(O58)   ))/1000*D58*$M$16</f>
        <v>0.0680990516067456</v>
      </c>
      <c r="AF58" s="43" t="n">
        <f aca="false">Y58/2.5</f>
        <v>0.0449808270286302</v>
      </c>
      <c r="AG58" s="2"/>
      <c r="AH58" s="2"/>
      <c r="AI58" s="2"/>
      <c r="AJ58" s="2"/>
      <c r="AK58" s="3"/>
    </row>
    <row r="59" customFormat="false" ht="12.8" hidden="false" customHeight="false" outlineLevel="0" collapsed="false">
      <c r="D59" s="2" t="n">
        <v>10.0013913127003</v>
      </c>
      <c r="F59" s="0" t="n">
        <v>32.5</v>
      </c>
      <c r="G59" s="1" t="n">
        <v>20.6</v>
      </c>
      <c r="H59" s="1" t="n">
        <f aca="false">G59*(1-EXP(-ABS(1.2085-0.2392*G59/F59+0.00742*F59- 0.7897*LN(J59))))</f>
        <v>13.6811282582299</v>
      </c>
      <c r="J59" s="1" t="n">
        <v>20.6</v>
      </c>
      <c r="K59" s="44" t="n">
        <v>90</v>
      </c>
      <c r="M59" s="1" t="n">
        <f aca="false">(1.2783+0.11388*F59)*(1-EXP(-EXP(LN(F59/8.70522)*1.33944)))</f>
        <v>4.96489341528533</v>
      </c>
      <c r="N59" s="1" t="n">
        <f aca="false">(G59-H59)/G59</f>
        <v>0.335867560280102</v>
      </c>
      <c r="O59" s="1" t="n">
        <v>58</v>
      </c>
      <c r="S59" s="2"/>
      <c r="T59" s="2"/>
      <c r="U59" s="2"/>
      <c r="V59" s="2"/>
      <c r="W59" s="2"/>
      <c r="X59" s="2"/>
      <c r="Y59" s="25" t="n">
        <f aca="false">(EXP(-2.55154+$B$7*LN(F59)+$C$7*LN(G59)+$D$7*LN(M59)+$E$7*LN(N59))/1000*D59)*$M$7</f>
        <v>0.108118533711746</v>
      </c>
      <c r="Z59" s="38" t="n">
        <f aca="false">(EXP($B$13+$C$13*LN(F59)+$D$13*LN(G59)+$E$13*LN(100/G59*(G59-H59))))/1000*D59</f>
        <v>0.184049391581843</v>
      </c>
      <c r="AA59" s="39" t="n">
        <f aca="false">EXP($B$14+$C$14*LN(F59)+$D$14*LN(G59))/1000*D59</f>
        <v>0.105837166720262</v>
      </c>
      <c r="AB59" s="40" t="n">
        <f aca="false">($B$10+$C$10*F59^2+$D$10*F59^4)/1000*D59</f>
        <v>0.0950574933483143</v>
      </c>
      <c r="AC59" s="41" t="n">
        <f aca="false">EXP(   $B$15  +  $C$15*(2+1.25*F59)/(2+1.25*F59+16)  +  $D$15*G59/(G59+1)    )/1000*D59</f>
        <v>0.14248967817702</v>
      </c>
      <c r="AD59" s="42" t="n">
        <f aca="false">(EXP(LN($B$16) + $C$16*LN(F59)  + $D$16*LN(G59) + $E$16*LN(G59-H59)))/1000*D59*$M$16</f>
        <v>0.0876288972354557</v>
      </c>
      <c r="AE59" s="42" t="n">
        <f aca="false">(EXP(LN($B$17) + $C$17*LN(F59)  + $D$17*LN(G59) +  $E$17*LN(K59)  +$F$17*LN(G59-H59)  +$G$17*LN(O59)   ))/1000*D59*$M$16</f>
        <v>0.0663868931192074</v>
      </c>
      <c r="AF59" s="43" t="n">
        <f aca="false">Y59/2.5</f>
        <v>0.0432474134846984</v>
      </c>
      <c r="AG59" s="2"/>
      <c r="AH59" s="2"/>
      <c r="AI59" s="2"/>
      <c r="AJ59" s="2"/>
      <c r="AK59" s="3"/>
    </row>
    <row r="60" customFormat="false" ht="12.8" hidden="false" customHeight="false" outlineLevel="0" collapsed="false">
      <c r="D60" s="2" t="n">
        <v>10.0013913127003</v>
      </c>
      <c r="F60" s="0" t="n">
        <v>34.1</v>
      </c>
      <c r="G60" s="1" t="n">
        <v>20.6</v>
      </c>
      <c r="H60" s="1" t="n">
        <f aca="false">G60*(1-EXP(-ABS(1.2085-0.2392*G60/F60+0.00742*F60- 0.7897*LN(J60))))</f>
        <v>13.5485119853981</v>
      </c>
      <c r="J60" s="1" t="n">
        <v>20.6</v>
      </c>
      <c r="K60" s="44" t="n">
        <v>90</v>
      </c>
      <c r="M60" s="1" t="n">
        <f aca="false">(1.2783+0.11388*F60)*(1-EXP(-EXP(LN(F60/8.70522)*1.33944)))</f>
        <v>5.15140827374616</v>
      </c>
      <c r="N60" s="1" t="n">
        <f aca="false">(G60-H60)/G60</f>
        <v>0.342305243427275</v>
      </c>
      <c r="O60" s="1" t="n">
        <v>58</v>
      </c>
      <c r="S60" s="2"/>
      <c r="T60" s="2"/>
      <c r="U60" s="2"/>
      <c r="V60" s="2"/>
      <c r="W60" s="2"/>
      <c r="X60" s="2"/>
      <c r="Y60" s="25" t="n">
        <f aca="false">(EXP(-2.55154+$B$7*LN(F60)+$C$7*LN(G60)+$D$7*LN(M60)+$E$7*LN(N60))/1000*D60)*$M$7</f>
        <v>0.119883773309116</v>
      </c>
      <c r="Z60" s="38" t="n">
        <f aca="false">(EXP($B$13+$C$13*LN(F60)+$D$13*LN(G60)+$E$13*LN(100/G60*(G60-H60))))/1000*D60</f>
        <v>0.202750648937964</v>
      </c>
      <c r="AA60" s="39" t="n">
        <f aca="false">EXP($B$14+$C$14*LN(F60)+$D$14*LN(G60))/1000*D60</f>
        <v>0.114243273137009</v>
      </c>
      <c r="AB60" s="40" t="n">
        <f aca="false">($B$10+$C$10*F60^2+$D$10*F60^4)/1000*D60</f>
        <v>0.10350905870323</v>
      </c>
      <c r="AC60" s="41" t="n">
        <f aca="false">EXP(   $B$15  +  $C$15*(2+1.25*F60)/(2+1.25*F60+16)  +  $D$15*G60/(G60+1)    )/1000*D60</f>
        <v>0.159106288209206</v>
      </c>
      <c r="AD60" s="42" t="n">
        <f aca="false">(EXP(LN($B$16) + $C$16*LN(F60)  + $D$16*LN(G60) + $E$16*LN(G60-H60)))/1000*D60*$M$16</f>
        <v>0.0942209192584585</v>
      </c>
      <c r="AE60" s="42" t="n">
        <f aca="false">(EXP(LN($B$17) + $C$17*LN(F60)  + $D$17*LN(G60) +  $E$17*LN(K60)  +$F$17*LN(G60-H60)  +$G$17*LN(O60)   ))/1000*D60*$M$16</f>
        <v>0.0709815875951921</v>
      </c>
      <c r="AF60" s="43" t="n">
        <f aca="false">Y60/2.5</f>
        <v>0.0479535093236464</v>
      </c>
      <c r="AG60" s="2"/>
      <c r="AH60" s="2"/>
      <c r="AI60" s="2"/>
      <c r="AJ60" s="2"/>
      <c r="AK60" s="3"/>
    </row>
    <row r="61" customFormat="false" ht="12.8" hidden="false" customHeight="false" outlineLevel="0" collapsed="false">
      <c r="D61" s="2" t="n">
        <v>10.0013913127003</v>
      </c>
      <c r="F61" s="0" t="n">
        <v>33.6</v>
      </c>
      <c r="G61" s="1" t="n">
        <v>20.6</v>
      </c>
      <c r="H61" s="1" t="n">
        <f aca="false">G61*(1-EXP(-ABS(1.2085-0.2392*G61/F61+0.00742*F61- 0.7897*LN(J61))))</f>
        <v>13.5897151692147</v>
      </c>
      <c r="J61" s="1" t="n">
        <v>20.6</v>
      </c>
      <c r="K61" s="44" t="n">
        <v>90</v>
      </c>
      <c r="M61" s="1" t="n">
        <f aca="false">(1.2783+0.11388*F61)*(1-EXP(-EXP(LN(F61/8.70522)*1.33944)))</f>
        <v>5.09327210330491</v>
      </c>
      <c r="N61" s="1" t="n">
        <f aca="false">(G61-H61)/G61</f>
        <v>0.340305088873074</v>
      </c>
      <c r="O61" s="1" t="n">
        <v>58</v>
      </c>
      <c r="S61" s="2"/>
      <c r="T61" s="2"/>
      <c r="U61" s="2"/>
      <c r="V61" s="2"/>
      <c r="W61" s="2"/>
      <c r="X61" s="2"/>
      <c r="Y61" s="25" t="n">
        <f aca="false">(EXP(-2.55154+$B$7*LN(F61)+$C$7*LN(G61)+$D$7*LN(M61)+$E$7*LN(N61))/1000*D61)*$M$7</f>
        <v>0.116135089332942</v>
      </c>
      <c r="Z61" s="38" t="n">
        <f aca="false">(EXP($B$13+$C$13*LN(F61)+$D$13*LN(G61)+$E$13*LN(100/G61*(G61-H61))))/1000*D61</f>
        <v>0.196811592904553</v>
      </c>
      <c r="AA61" s="39" t="n">
        <f aca="false">EXP($B$14+$C$14*LN(F61)+$D$14*LN(G61))/1000*D61</f>
        <v>0.111590780817945</v>
      </c>
      <c r="AB61" s="40" t="n">
        <f aca="false">($B$10+$C$10*F61^2+$D$10*F61^4)/1000*D61</f>
        <v>0.100824109868407</v>
      </c>
      <c r="AC61" s="41" t="n">
        <f aca="false">EXP(   $B$15  +  $C$15*(2+1.25*F61)/(2+1.25*F61+16)  +  $D$15*G61/(G61+1)    )/1000*D61</f>
        <v>0.153836866591748</v>
      </c>
      <c r="AD61" s="42" t="n">
        <f aca="false">(EXP(LN($B$16) + $C$16*LN(F61)  + $D$16*LN(G61) + $E$16*LN(G61-H61)))/1000*D61*$M$16</f>
        <v>0.0921424184936451</v>
      </c>
      <c r="AE61" s="42" t="n">
        <f aca="false">(EXP(LN($B$17) + $C$17*LN(F61)  + $D$17*LN(G61) +  $E$17*LN(K61)  +$F$17*LN(G61-H61)  +$G$17*LN(O61)   ))/1000*D61*$M$16</f>
        <v>0.0695358098596469</v>
      </c>
      <c r="AF61" s="43" t="n">
        <f aca="false">Y61/2.5</f>
        <v>0.0464540357331769</v>
      </c>
      <c r="AG61" s="2"/>
      <c r="AH61" s="2"/>
      <c r="AI61" s="2"/>
      <c r="AJ61" s="2"/>
      <c r="AK61" s="3"/>
    </row>
    <row r="62" customFormat="false" ht="12.8" hidden="false" customHeight="false" outlineLevel="0" collapsed="false">
      <c r="D62" s="2" t="n">
        <v>10.0013913127003</v>
      </c>
      <c r="F62" s="0" t="n">
        <v>35.8</v>
      </c>
      <c r="G62" s="1" t="n">
        <v>20.6</v>
      </c>
      <c r="H62" s="1" t="n">
        <f aca="false">G62*(1-EXP(-ABS(1.2085-0.2392*G62/F62+0.00742*F62- 0.7897*LN(J62))))</f>
        <v>13.409832341315</v>
      </c>
      <c r="J62" s="1" t="n">
        <v>20.6</v>
      </c>
      <c r="K62" s="44" t="n">
        <v>90</v>
      </c>
      <c r="M62" s="1" t="n">
        <f aca="false">(1.2783+0.11388*F62)*(1-EXP(-EXP(LN(F62/8.70522)*1.33944)))</f>
        <v>5.34824585070946</v>
      </c>
      <c r="N62" s="1" t="n">
        <f aca="false">(G62-H62)/G62</f>
        <v>0.34903726498471</v>
      </c>
      <c r="O62" s="1" t="n">
        <v>58</v>
      </c>
      <c r="S62" s="2"/>
      <c r="T62" s="2"/>
      <c r="U62" s="2"/>
      <c r="V62" s="2"/>
      <c r="W62" s="2"/>
      <c r="X62" s="2"/>
      <c r="Y62" s="25" t="n">
        <f aca="false">(EXP(-2.55154+$B$7*LN(F62)+$C$7*LN(G62)+$D$7*LN(M62)+$E$7*LN(N62))/1000*D62)*$M$7</f>
        <v>0.133126027286569</v>
      </c>
      <c r="Z62" s="38" t="n">
        <f aca="false">(EXP($B$13+$C$13*LN(F62)+$D$13*LN(G62)+$E$13*LN(100/G62*(G62-H62))))/1000*D62</f>
        <v>0.22358449489595</v>
      </c>
      <c r="AA62" s="39" t="n">
        <f aca="false">EXP($B$14+$C$14*LN(F62)+$D$14*LN(G62))/1000*D62</f>
        <v>0.123433428873037</v>
      </c>
      <c r="AB62" s="40" t="n">
        <f aca="false">($B$10+$C$10*F62^2+$D$10*F62^4)/1000*D62</f>
        <v>0.112936105466059</v>
      </c>
      <c r="AC62" s="41" t="n">
        <f aca="false">EXP(   $B$15  +  $C$15*(2+1.25*F62)/(2+1.25*F62+16)  +  $D$15*G62/(G62+1)    )/1000*D62</f>
        <v>0.177516774781753</v>
      </c>
      <c r="AD62" s="42" t="n">
        <f aca="false">(EXP(LN($B$16) + $C$16*LN(F62)  + $D$16*LN(G62) + $E$16*LN(G62-H62)))/1000*D62*$M$16</f>
        <v>0.101413172612286</v>
      </c>
      <c r="AE62" s="42" t="n">
        <f aca="false">(EXP(LN($B$17) + $C$17*LN(F62)  + $D$17*LN(G62) +  $E$17*LN(K62)  +$F$17*LN(G62-H62)  +$G$17*LN(O62)   ))/1000*D62*$M$16</f>
        <v>0.0759642918336034</v>
      </c>
      <c r="AF62" s="43" t="n">
        <f aca="false">Y62/2.5</f>
        <v>0.0532504109146275</v>
      </c>
      <c r="AG62" s="2"/>
      <c r="AH62" s="2"/>
      <c r="AI62" s="2"/>
      <c r="AJ62" s="2"/>
      <c r="AK62" s="3"/>
    </row>
    <row r="63" customFormat="false" ht="12.8" hidden="false" customHeight="false" outlineLevel="0" collapsed="false">
      <c r="D63" s="2" t="n">
        <v>19.9862550523052</v>
      </c>
      <c r="F63" s="0" t="n">
        <v>25.6</v>
      </c>
      <c r="G63" s="1" t="n">
        <v>20.6</v>
      </c>
      <c r="H63" s="1" t="n">
        <f aca="false">G63*(1-EXP(-ABS(1.2085-0.2392*G63/F63+0.00742*F63- 0.7897*LN(J63))))</f>
        <v>14.2896605968795</v>
      </c>
      <c r="J63" s="1" t="n">
        <v>20.6</v>
      </c>
      <c r="K63" s="44" t="n">
        <v>90</v>
      </c>
      <c r="M63" s="1" t="n">
        <f aca="false">(1.2783+0.11388*F63)*(1-EXP(-EXP(LN(F63/8.70522)*1.33944)))</f>
        <v>4.13327189105702</v>
      </c>
      <c r="N63" s="1" t="n">
        <f aca="false">(G63-H63)/G63</f>
        <v>0.306327155491289</v>
      </c>
      <c r="O63" s="1" t="n">
        <v>58</v>
      </c>
      <c r="S63" s="2"/>
      <c r="T63" s="2"/>
      <c r="U63" s="2"/>
      <c r="V63" s="2"/>
      <c r="W63" s="2"/>
      <c r="X63" s="2"/>
      <c r="Y63" s="25" t="n">
        <f aca="false">(EXP(-2.55154+$B$7*LN(F63)+$C$7*LN(G63)+$D$7*LN(M63)+$E$7*LN(N63))/1000*D63)*$M$7</f>
        <v>0.129511096679024</v>
      </c>
      <c r="Z63" s="38" t="n">
        <f aca="false">(EXP($B$13+$C$13*LN(F63)+$D$13*LN(G63)+$E$13*LN(100/G63*(G63-H63))))/1000*D63</f>
        <v>0.227151382544988</v>
      </c>
      <c r="AA63" s="39" t="n">
        <f aca="false">EXP($B$14+$C$14*LN(F63)+$D$14*LN(G63))/1000*D63</f>
        <v>0.144703454797583</v>
      </c>
      <c r="AB63" s="40" t="n">
        <f aca="false">($B$10+$C$10*F63^2+$D$10*F63^4)/1000*D63</f>
        <v>0.126454202558414</v>
      </c>
      <c r="AC63" s="41" t="n">
        <f aca="false">EXP(   $B$15  +  $C$15*(2+1.25*F63)/(2+1.25*F63+16)  +  $D$15*G63/(G63+1)    )/1000*D63</f>
        <v>0.159944461885164</v>
      </c>
      <c r="AD63" s="42" t="n">
        <f aca="false">(EXP(LN($B$16) + $C$16*LN(F63)  + $D$16*LN(G63) + $E$16*LN(G63-H63)))/1000*D63*$M$16</f>
        <v>0.122292001296567</v>
      </c>
      <c r="AE63" s="42" t="n">
        <f aca="false">(EXP(LN($B$17) + $C$17*LN(F63)  + $D$17*LN(G63) +  $E$17*LN(K63)  +$F$17*LN(G63-H63)  +$G$17*LN(O63)   ))/1000*D63*$M$16</f>
        <v>0.0952334287729629</v>
      </c>
      <c r="AF63" s="43" t="n">
        <f aca="false">Y63/2.5</f>
        <v>0.0518044386716097</v>
      </c>
      <c r="AG63" s="2"/>
      <c r="AH63" s="2"/>
      <c r="AI63" s="2"/>
      <c r="AJ63" s="2"/>
      <c r="AK63" s="3"/>
    </row>
    <row r="64" customFormat="false" ht="12.8" hidden="false" customHeight="false" outlineLevel="0" collapsed="false">
      <c r="D64" s="2" t="n">
        <v>10.0013913127003</v>
      </c>
      <c r="F64" s="0" t="n">
        <v>30</v>
      </c>
      <c r="G64" s="1" t="n">
        <v>20.6</v>
      </c>
      <c r="H64" s="1" t="n">
        <f aca="false">G64*(1-EXP(-ABS(1.2085-0.2392*G64/F64+0.00742*F64- 0.7897*LN(J64))))</f>
        <v>13.8935614231229</v>
      </c>
      <c r="J64" s="1" t="n">
        <v>20.6</v>
      </c>
      <c r="K64" s="44" t="n">
        <v>90</v>
      </c>
      <c r="M64" s="1" t="n">
        <f aca="false">(1.2783+0.11388*F64)*(1-EXP(-EXP(LN(F64/8.70522)*1.33944)))</f>
        <v>4.66993836112263</v>
      </c>
      <c r="N64" s="1" t="n">
        <f aca="false">(G64-H64)/G64</f>
        <v>0.32555527072219</v>
      </c>
      <c r="O64" s="1" t="n">
        <v>58</v>
      </c>
      <c r="S64" s="2"/>
      <c r="T64" s="2"/>
      <c r="U64" s="2"/>
      <c r="V64" s="2"/>
      <c r="W64" s="2"/>
      <c r="X64" s="2"/>
      <c r="Y64" s="25" t="n">
        <f aca="false">(EXP(-2.55154+$B$7*LN(F64)+$C$7*LN(G64)+$D$7*LN(M64)+$E$7*LN(N64))/1000*D64)*$M$7</f>
        <v>0.0910577776452881</v>
      </c>
      <c r="Z64" s="38" t="n">
        <f aca="false">(EXP($B$13+$C$13*LN(F64)+$D$13*LN(G64)+$E$13*LN(100/G64*(G64-H64))))/1000*D64</f>
        <v>0.156609802945561</v>
      </c>
      <c r="AA64" s="39" t="n">
        <f aca="false">EXP($B$14+$C$14*LN(F64)+$D$14*LN(G64))/1000*D64</f>
        <v>0.0931867020283131</v>
      </c>
      <c r="AB64" s="40" t="n">
        <f aca="false">($B$10+$C$10*F64^2+$D$10*F64^4)/1000*D64</f>
        <v>0.0826684260630772</v>
      </c>
      <c r="AC64" s="41" t="n">
        <f aca="false">EXP(   $B$15  +  $C$15*(2+1.25*F64)/(2+1.25*F64+16)  +  $D$15*G64/(G64+1)    )/1000*D64</f>
        <v>0.118037957517667</v>
      </c>
      <c r="AD64" s="42" t="n">
        <f aca="false">(EXP(LN($B$16) + $C$16*LN(F64)  + $D$16*LN(G64) + $E$16*LN(G64-H64)))/1000*D64*$M$16</f>
        <v>0.0776750740421934</v>
      </c>
      <c r="AE64" s="42" t="n">
        <f aca="false">(EXP(LN($B$17) + $C$17*LN(F64)  + $D$17*LN(G64) +  $E$17*LN(K64)  +$F$17*LN(G64-H64)  +$G$17*LN(O64)   ))/1000*D64*$M$16</f>
        <v>0.0593945643432131</v>
      </c>
      <c r="AF64" s="43" t="n">
        <f aca="false">Y64/2.5</f>
        <v>0.0364231110581152</v>
      </c>
      <c r="AG64" s="2"/>
      <c r="AH64" s="2"/>
      <c r="AI64" s="2"/>
      <c r="AJ64" s="2"/>
      <c r="AK64" s="3"/>
    </row>
    <row r="65" customFormat="false" ht="12.8" hidden="false" customHeight="false" outlineLevel="0" collapsed="false">
      <c r="D65" s="2" t="n">
        <v>10.0013913127003</v>
      </c>
      <c r="F65" s="0" t="n">
        <v>32.1</v>
      </c>
      <c r="G65" s="1" t="n">
        <v>20.6</v>
      </c>
      <c r="H65" s="1" t="n">
        <f aca="false">G65*(1-EXP(-ABS(1.2085-0.2392*G65/F65+0.00742*F65- 0.7897*LN(J65))))</f>
        <v>13.7146537783195</v>
      </c>
      <c r="J65" s="1" t="n">
        <v>20.6</v>
      </c>
      <c r="K65" s="44" t="n">
        <v>90</v>
      </c>
      <c r="M65" s="1" t="n">
        <f aca="false">(1.2783+0.11388*F65)*(1-EXP(-EXP(LN(F65/8.70522)*1.33944)))</f>
        <v>4.91802506696166</v>
      </c>
      <c r="N65" s="1" t="n">
        <f aca="false">(G65-H65)/G65</f>
        <v>0.334240107848567</v>
      </c>
      <c r="O65" s="1" t="n">
        <v>58</v>
      </c>
      <c r="S65" s="2"/>
      <c r="T65" s="2"/>
      <c r="U65" s="2"/>
      <c r="V65" s="2"/>
      <c r="W65" s="2"/>
      <c r="X65" s="2"/>
      <c r="Y65" s="25" t="n">
        <f aca="false">(EXP(-2.55154+$B$7*LN(F65)+$C$7*LN(G65)+$D$7*LN(M65)+$E$7*LN(N65))/1000*D65)*$M$7</f>
        <v>0.105281358276181</v>
      </c>
      <c r="Z65" s="38" t="n">
        <f aca="false">(EXP($B$13+$C$13*LN(F65)+$D$13*LN(G65)+$E$13*LN(100/G65*(G65-H65))))/1000*D65</f>
        <v>0.17951254135847</v>
      </c>
      <c r="AA65" s="39" t="n">
        <f aca="false">EXP($B$14+$C$14*LN(F65)+$D$14*LN(G65))/1000*D65</f>
        <v>0.103773084710945</v>
      </c>
      <c r="AB65" s="40" t="n">
        <f aca="false">($B$10+$C$10*F65^2+$D$10*F65^4)/1000*D65</f>
        <v>0.0930083477999094</v>
      </c>
      <c r="AC65" s="41" t="n">
        <f aca="false">EXP(   $B$15  +  $C$15*(2+1.25*F65)/(2+1.25*F65+16)  +  $D$15*G65/(G65+1)    )/1000*D65</f>
        <v>0.138449797482578</v>
      </c>
      <c r="AD65" s="42" t="n">
        <f aca="false">(EXP(LN($B$16) + $C$16*LN(F65)  + $D$16*LN(G65) + $E$16*LN(G65-H65)))/1000*D65*$M$16</f>
        <v>0.0860078382209017</v>
      </c>
      <c r="AE65" s="42" t="n">
        <f aca="false">(EXP(LN($B$17) + $C$17*LN(F65)  + $D$17*LN(G65) +  $E$17*LN(K65)  +$F$17*LN(G65-H65)  +$G$17*LN(O65)   ))/1000*D65*$M$16</f>
        <v>0.0652527245744751</v>
      </c>
      <c r="AF65" s="43" t="n">
        <f aca="false">Y65/2.5</f>
        <v>0.0421125433104723</v>
      </c>
      <c r="AG65" s="2"/>
      <c r="AH65" s="2"/>
      <c r="AI65" s="2"/>
      <c r="AJ65" s="2"/>
      <c r="AK65" s="3"/>
    </row>
    <row r="66" customFormat="false" ht="12.8" hidden="false" customHeight="false" outlineLevel="0" collapsed="false">
      <c r="D66" s="2" t="n">
        <v>10.0013913127003</v>
      </c>
      <c r="F66" s="0" t="n">
        <v>33.9</v>
      </c>
      <c r="G66" s="1" t="n">
        <v>20.6</v>
      </c>
      <c r="H66" s="1" t="n">
        <f aca="false">G66*(1-EXP(-ABS(1.2085-0.2392*G66/F66+0.00742*F66- 0.7897*LN(J66))))</f>
        <v>13.5649686913518</v>
      </c>
      <c r="J66" s="1" t="n">
        <v>20.6</v>
      </c>
      <c r="K66" s="44" t="n">
        <v>90</v>
      </c>
      <c r="M66" s="1" t="n">
        <f aca="false">(1.2783+0.11388*F66)*(1-EXP(-EXP(LN(F66/8.70522)*1.33944)))</f>
        <v>5.12816872072423</v>
      </c>
      <c r="N66" s="1" t="n">
        <f aca="false">(G66-H66)/G66</f>
        <v>0.341506374206222</v>
      </c>
      <c r="O66" s="1" t="n">
        <v>58</v>
      </c>
      <c r="S66" s="2"/>
      <c r="T66" s="2"/>
      <c r="U66" s="2"/>
      <c r="V66" s="2"/>
      <c r="W66" s="2"/>
      <c r="X66" s="2"/>
      <c r="Y66" s="25" t="n">
        <f aca="false">(EXP(-2.55154+$B$7*LN(F66)+$C$7*LN(G66)+$D$7*LN(M66)+$E$7*LN(N66))/1000*D66)*$M$7</f>
        <v>0.118376393776342</v>
      </c>
      <c r="Z66" s="38" t="n">
        <f aca="false">(EXP($B$13+$C$13*LN(F66)+$D$13*LN(G66)+$E$13*LN(100/G66*(G66-H66))))/1000*D66</f>
        <v>0.200364701485798</v>
      </c>
      <c r="AA66" s="39" t="n">
        <f aca="false">EXP($B$14+$C$14*LN(F66)+$D$14*LN(G66))/1000*D66</f>
        <v>0.113179501112352</v>
      </c>
      <c r="AB66" s="40" t="n">
        <f aca="false">($B$10+$C$10*F66^2+$D$10*F66^4)/1000*D66</f>
        <v>0.102430296232971</v>
      </c>
      <c r="AC66" s="41" t="n">
        <f aca="false">EXP(   $B$15  +  $C$15*(2+1.25*F66)/(2+1.25*F66+16)  +  $D$15*G66/(G66+1)    )/1000*D66</f>
        <v>0.156990335243032</v>
      </c>
      <c r="AD66" s="42" t="n">
        <f aca="false">(EXP(LN($B$16) + $C$16*LN(F66)  + $D$16*LN(G66) + $E$16*LN(G66-H66)))/1000*D66*$M$16</f>
        <v>0.0933875044446665</v>
      </c>
      <c r="AE66" s="42" t="n">
        <f aca="false">(EXP(LN($B$17) + $C$17*LN(F66)  + $D$17*LN(G66) +  $E$17*LN(K66)  +$F$17*LN(G66-H66)  +$G$17*LN(O66)   ))/1000*D66*$M$16</f>
        <v>0.0704021961752565</v>
      </c>
      <c r="AF66" s="43" t="n">
        <f aca="false">Y66/2.5</f>
        <v>0.047350557510537</v>
      </c>
      <c r="AG66" s="2"/>
      <c r="AH66" s="2"/>
      <c r="AI66" s="2"/>
      <c r="AJ66" s="2"/>
      <c r="AK66" s="3"/>
    </row>
    <row r="67" customFormat="false" ht="12.8" hidden="false" customHeight="false" outlineLevel="0" collapsed="false">
      <c r="D67" s="2" t="n">
        <v>10.0013913127003</v>
      </c>
      <c r="F67" s="0" t="n">
        <v>35.8</v>
      </c>
      <c r="G67" s="1" t="n">
        <v>20.6</v>
      </c>
      <c r="H67" s="1" t="n">
        <f aca="false">G67*(1-EXP(-ABS(1.2085-0.2392*G67/F67+0.00742*F67- 0.7897*LN(J67))))</f>
        <v>13.409832341315</v>
      </c>
      <c r="J67" s="1" t="n">
        <v>20.6</v>
      </c>
      <c r="K67" s="44" t="n">
        <v>90</v>
      </c>
      <c r="M67" s="1" t="n">
        <f aca="false">(1.2783+0.11388*F67)*(1-EXP(-EXP(LN(F67/8.70522)*1.33944)))</f>
        <v>5.34824585070946</v>
      </c>
      <c r="N67" s="1" t="n">
        <f aca="false">(G67-H67)/G67</f>
        <v>0.34903726498471</v>
      </c>
      <c r="O67" s="1" t="n">
        <v>58</v>
      </c>
      <c r="S67" s="2"/>
      <c r="T67" s="2"/>
      <c r="U67" s="2"/>
      <c r="V67" s="2"/>
      <c r="W67" s="2"/>
      <c r="X67" s="2"/>
      <c r="Y67" s="25" t="n">
        <f aca="false">(EXP(-2.55154+$B$7*LN(F67)+$C$7*LN(G67)+$D$7*LN(M67)+$E$7*LN(N67))/1000*D67)*$M$7</f>
        <v>0.133126027286569</v>
      </c>
      <c r="Z67" s="38" t="n">
        <f aca="false">(EXP($B$13+$C$13*LN(F67)+$D$13*LN(G67)+$E$13*LN(100/G67*(G67-H67))))/1000*D67</f>
        <v>0.22358449489595</v>
      </c>
      <c r="AA67" s="39" t="n">
        <f aca="false">EXP($B$14+$C$14*LN(F67)+$D$14*LN(G67))/1000*D67</f>
        <v>0.123433428873037</v>
      </c>
      <c r="AB67" s="40" t="n">
        <f aca="false">($B$10+$C$10*F67^2+$D$10*F67^4)/1000*D67</f>
        <v>0.112936105466059</v>
      </c>
      <c r="AC67" s="41" t="n">
        <f aca="false">EXP(   $B$15  +  $C$15*(2+1.25*F67)/(2+1.25*F67+16)  +  $D$15*G67/(G67+1)    )/1000*D67</f>
        <v>0.177516774781753</v>
      </c>
      <c r="AD67" s="42" t="n">
        <f aca="false">(EXP(LN($B$16) + $C$16*LN(F67)  + $D$16*LN(G67) + $E$16*LN(G67-H67)))/1000*D67*$M$16</f>
        <v>0.101413172612286</v>
      </c>
      <c r="AE67" s="42" t="n">
        <f aca="false">(EXP(LN($B$17) + $C$17*LN(F67)  + $D$17*LN(G67) +  $E$17*LN(K67)  +$F$17*LN(G67-H67)  +$G$17*LN(O67)   ))/1000*D67*$M$16</f>
        <v>0.0759642918336034</v>
      </c>
      <c r="AF67" s="43" t="n">
        <f aca="false">Y67/2.5</f>
        <v>0.0532504109146275</v>
      </c>
      <c r="AG67" s="2"/>
      <c r="AH67" s="2"/>
      <c r="AI67" s="2"/>
      <c r="AJ67" s="2"/>
      <c r="AK67" s="3"/>
    </row>
    <row r="68" customFormat="false" ht="12.8" hidden="false" customHeight="false" outlineLevel="0" collapsed="false">
      <c r="D68" s="2" t="n">
        <v>10.0013913127003</v>
      </c>
      <c r="F68" s="0" t="n">
        <v>34.5</v>
      </c>
      <c r="G68" s="1" t="n">
        <v>20.6</v>
      </c>
      <c r="H68" s="1" t="n">
        <f aca="false">G68*(1-EXP(-ABS(1.2085-0.2392*G68/F68+0.00742*F68- 0.7897*LN(J68))))</f>
        <v>13.5156930673442</v>
      </c>
      <c r="J68" s="1" t="n">
        <v>20.6</v>
      </c>
      <c r="K68" s="44" t="n">
        <v>90</v>
      </c>
      <c r="M68" s="1" t="n">
        <f aca="false">(1.2783+0.11388*F68)*(1-EXP(-EXP(LN(F68/8.70522)*1.33944)))</f>
        <v>5.19783106712943</v>
      </c>
      <c r="N68" s="1" t="n">
        <f aca="false">(G68-H68)/G68</f>
        <v>0.343898394789115</v>
      </c>
      <c r="O68" s="1" t="n">
        <v>58</v>
      </c>
      <c r="S68" s="2"/>
      <c r="T68" s="2"/>
      <c r="U68" s="2"/>
      <c r="V68" s="2"/>
      <c r="W68" s="2"/>
      <c r="X68" s="2"/>
      <c r="Y68" s="25" t="n">
        <f aca="false">(EXP(-2.55154+$B$7*LN(F68)+$C$7*LN(G68)+$D$7*LN(M68)+$E$7*LN(N68))/1000*D68)*$M$7</f>
        <v>0.122930275383998</v>
      </c>
      <c r="Z68" s="38" t="n">
        <f aca="false">(EXP($B$13+$C$13*LN(F68)+$D$13*LN(G68)+$E$13*LN(100/G68*(G68-H68))))/1000*D68</f>
        <v>0.207563767708707</v>
      </c>
      <c r="AA68" s="39" t="n">
        <f aca="false">EXP($B$14+$C$14*LN(F68)+$D$14*LN(G68))/1000*D68</f>
        <v>0.116381877557284</v>
      </c>
      <c r="AB68" s="40" t="n">
        <f aca="false">($B$10+$C$10*F68^2+$D$10*F68^4)/1000*D68</f>
        <v>0.105685717929081</v>
      </c>
      <c r="AC68" s="41" t="n">
        <f aca="false">EXP(   $B$15  +  $C$15*(2+1.25*F68)/(2+1.25*F68+16)  +  $D$15*G68/(G68+1)    )/1000*D68</f>
        <v>0.163370453095607</v>
      </c>
      <c r="AD68" s="42" t="n">
        <f aca="false">(EXP(LN($B$16) + $C$16*LN(F68)  + $D$16*LN(G68) + $E$16*LN(G68-H68)))/1000*D68*$M$16</f>
        <v>0.0958957998283077</v>
      </c>
      <c r="AE68" s="42" t="n">
        <f aca="false">(EXP(LN($B$17) + $C$17*LN(F68)  + $D$17*LN(G68) +  $E$17*LN(K68)  +$F$17*LN(G68-H68)  +$G$17*LN(O68)   ))/1000*D68*$M$16</f>
        <v>0.072144682965437</v>
      </c>
      <c r="AF68" s="43" t="n">
        <f aca="false">Y68/2.5</f>
        <v>0.0491721101535992</v>
      </c>
      <c r="AG68" s="2"/>
      <c r="AH68" s="2"/>
      <c r="AI68" s="2"/>
      <c r="AJ68" s="2"/>
      <c r="AK68" s="3"/>
    </row>
    <row r="69" customFormat="false" ht="12.8" hidden="false" customHeight="false" outlineLevel="0" collapsed="false">
      <c r="D69" s="2" t="n">
        <v>10.0013913127003</v>
      </c>
      <c r="F69" s="0" t="n">
        <v>39.2</v>
      </c>
      <c r="G69" s="1" t="n">
        <v>20.6</v>
      </c>
      <c r="H69" s="1" t="n">
        <f aca="false">G69*(1-EXP(-ABS(1.2085-0.2392*G69/F69+0.00742*F69- 0.7897*LN(J69))))</f>
        <v>13.1375731791195</v>
      </c>
      <c r="J69" s="1" t="n">
        <v>20.6</v>
      </c>
      <c r="K69" s="44" t="n">
        <v>90</v>
      </c>
      <c r="M69" s="1" t="n">
        <f aca="false">(1.2783+0.11388*F69)*(1-EXP(-EXP(LN(F69/8.70522)*1.33944)))</f>
        <v>5.7392348171551</v>
      </c>
      <c r="N69" s="1" t="n">
        <f aca="false">(G69-H69)/G69</f>
        <v>0.362253729168958</v>
      </c>
      <c r="O69" s="1" t="n">
        <v>58</v>
      </c>
      <c r="S69" s="2"/>
      <c r="T69" s="2"/>
      <c r="U69" s="2"/>
      <c r="V69" s="2"/>
      <c r="W69" s="2"/>
      <c r="X69" s="2"/>
      <c r="Y69" s="25" t="n">
        <f aca="false">(EXP(-2.55154+$B$7*LN(F69)+$C$7*LN(G69)+$D$7*LN(M69)+$E$7*LN(N69))/1000*D69)*$M$7</f>
        <v>0.161967230036078</v>
      </c>
      <c r="Z69" s="38" t="n">
        <f aca="false">(EXP($B$13+$C$13*LN(F69)+$D$13*LN(G69)+$E$13*LN(100/G69*(G69-H69))))/1000*D69</f>
        <v>0.268188150147249</v>
      </c>
      <c r="AA69" s="39" t="n">
        <f aca="false">EXP($B$14+$C$14*LN(F69)+$D$14*LN(G69))/1000*D69</f>
        <v>0.142592870829407</v>
      </c>
      <c r="AB69" s="40" t="n">
        <f aca="false">($B$10+$C$10*F69^2+$D$10*F69^4)/1000*D69</f>
        <v>0.133174055964458</v>
      </c>
      <c r="AC69" s="41" t="n">
        <f aca="false">EXP(   $B$15  +  $C$15*(2+1.25*F69)/(2+1.25*F69+16)  +  $D$15*G69/(G69+1)    )/1000*D69</f>
        <v>0.216418520124247</v>
      </c>
      <c r="AD69" s="42" t="n">
        <f aca="false">(EXP(LN($B$16) + $C$16*LN(F69)  + $D$16*LN(G69) + $E$16*LN(G69-H69)))/1000*D69*$M$16</f>
        <v>0.116376512914517</v>
      </c>
      <c r="AE69" s="42" t="n">
        <f aca="false">(EXP(LN($B$17) + $C$17*LN(F69)  + $D$17*LN(G69) +  $E$17*LN(K69)  +$F$17*LN(G69-H69)  +$G$17*LN(O69)   ))/1000*D69*$M$16</f>
        <v>0.086237208064461</v>
      </c>
      <c r="AF69" s="43" t="n">
        <f aca="false">Y69/2.5</f>
        <v>0.0647868920144312</v>
      </c>
      <c r="AG69" s="2"/>
      <c r="AH69" s="2"/>
      <c r="AI69" s="2"/>
      <c r="AJ69" s="2"/>
      <c r="AK69" s="3"/>
    </row>
    <row r="70" customFormat="false" ht="12.8" hidden="false" customHeight="false" outlineLevel="0" collapsed="false">
      <c r="D70" s="2" t="n">
        <v>19.9862550523052</v>
      </c>
      <c r="F70" s="0" t="n">
        <v>21.5</v>
      </c>
      <c r="G70" s="1" t="n">
        <v>20.6</v>
      </c>
      <c r="H70" s="1" t="n">
        <f aca="false">G70*(1-EXP(-ABS(1.2085-0.2392*G70/F70+0.00742*F70- 0.7897*LN(J70))))</f>
        <v>14.6993545897561</v>
      </c>
      <c r="J70" s="1" t="n">
        <v>20.6</v>
      </c>
      <c r="K70" s="44" t="n">
        <v>90</v>
      </c>
      <c r="M70" s="1" t="n">
        <f aca="false">(1.2783+0.11388*F70)*(1-EXP(-EXP(LN(F70/8.70522)*1.33944)))</f>
        <v>3.59687389538388</v>
      </c>
      <c r="N70" s="1" t="n">
        <f aca="false">(G70-H70)/G70</f>
        <v>0.286439097584655</v>
      </c>
      <c r="O70" s="1" t="n">
        <v>58</v>
      </c>
      <c r="S70" s="2"/>
      <c r="T70" s="2"/>
      <c r="U70" s="2"/>
      <c r="V70" s="2"/>
      <c r="W70" s="2"/>
      <c r="X70" s="2"/>
      <c r="Y70" s="25" t="n">
        <f aca="false">(EXP(-2.55154+$B$7*LN(F70)+$C$7*LN(G70)+$D$7*LN(M70)+$E$7*LN(N70))/1000*D70)*$M$7</f>
        <v>0.0889209418441641</v>
      </c>
      <c r="Z70" s="38" t="n">
        <f aca="false">(EXP($B$13+$C$13*LN(F70)+$D$13*LN(G70)+$E$13*LN(100/G70*(G70-H70))))/1000*D70</f>
        <v>0.159659036124604</v>
      </c>
      <c r="AA70" s="39" t="n">
        <f aca="false">EXP($B$14+$C$14*LN(F70)+$D$14*LN(G70))/1000*D70</f>
        <v>0.10962944560957</v>
      </c>
      <c r="AB70" s="40" t="n">
        <f aca="false">($B$10+$C$10*F70^2+$D$10*F70^4)/1000*D70</f>
        <v>0.0958840723812645</v>
      </c>
      <c r="AC70" s="41" t="n">
        <f aca="false">EXP(   $B$15  +  $C$15*(2+1.25*F70)/(2+1.25*F70+16)  +  $D$15*G70/(G70+1)    )/1000*D70</f>
        <v>0.102217415928757</v>
      </c>
      <c r="AD70" s="42" t="n">
        <f aca="false">(EXP(LN($B$16) + $C$16*LN(F70)  + $D$16*LN(G70) + $E$16*LN(G70-H70)))/1000*D70*$M$16</f>
        <v>0.0940609671549739</v>
      </c>
      <c r="AE70" s="42" t="n">
        <f aca="false">(EXP(LN($B$17) + $C$17*LN(F70)  + $D$17*LN(G70) +  $E$17*LN(K70)  +$F$17*LN(G70-H70)  +$G$17*LN(O70)   ))/1000*D70*$M$16</f>
        <v>0.0747363846119024</v>
      </c>
      <c r="AF70" s="43" t="n">
        <f aca="false">Y70/2.5</f>
        <v>0.0355683767376656</v>
      </c>
      <c r="AG70" s="2"/>
      <c r="AH70" s="2"/>
      <c r="AI70" s="2"/>
      <c r="AJ70" s="2"/>
      <c r="AK70" s="3"/>
    </row>
    <row r="71" customFormat="false" ht="12.8" hidden="false" customHeight="false" outlineLevel="0" collapsed="false">
      <c r="D71" s="2" t="n">
        <v>10.0013913127003</v>
      </c>
      <c r="F71" s="0" t="n">
        <v>38.2</v>
      </c>
      <c r="G71" s="1" t="n">
        <v>20.6</v>
      </c>
      <c r="H71" s="1" t="n">
        <f aca="false">G71*(1-EXP(-ABS(1.2085-0.2392*G71/F71+0.00742*F71- 0.7897*LN(J71))))</f>
        <v>13.2170739550985</v>
      </c>
      <c r="J71" s="1" t="n">
        <v>20.6</v>
      </c>
      <c r="K71" s="44" t="n">
        <v>90</v>
      </c>
      <c r="M71" s="1" t="n">
        <f aca="false">(1.2783+0.11388*F71)*(1-EXP(-EXP(LN(F71/8.70522)*1.33944)))</f>
        <v>5.6245162593638</v>
      </c>
      <c r="N71" s="1" t="n">
        <f aca="false">(G71-H71)/G71</f>
        <v>0.358394468199103</v>
      </c>
      <c r="O71" s="1" t="n">
        <v>58</v>
      </c>
      <c r="S71" s="2"/>
      <c r="T71" s="2"/>
      <c r="U71" s="2"/>
      <c r="V71" s="2"/>
      <c r="W71" s="2"/>
      <c r="X71" s="2"/>
      <c r="Y71" s="25" t="n">
        <f aca="false">(EXP(-2.55154+$B$7*LN(F71)+$C$7*LN(G71)+$D$7*LN(M71)+$E$7*LN(N71))/1000*D71)*$M$7</f>
        <v>0.153152896336947</v>
      </c>
      <c r="Z71" s="38" t="n">
        <f aca="false">(EXP($B$13+$C$13*LN(F71)+$D$13*LN(G71)+$E$13*LN(100/G71*(G71-H71))))/1000*D71</f>
        <v>0.254666860426569</v>
      </c>
      <c r="AA71" s="39" t="n">
        <f aca="false">EXP($B$14+$C$14*LN(F71)+$D$14*LN(G71))/1000*D71</f>
        <v>0.136851535005036</v>
      </c>
      <c r="AB71" s="40" t="n">
        <f aca="false">($B$10+$C$10*F71^2+$D$10*F71^4)/1000*D71</f>
        <v>0.127030055051459</v>
      </c>
      <c r="AC71" s="41" t="n">
        <f aca="false">EXP(   $B$15  +  $C$15*(2+1.25*F71)/(2+1.25*F71+16)  +  $D$15*G71/(G71+1)    )/1000*D71</f>
        <v>0.204709955746215</v>
      </c>
      <c r="AD71" s="42" t="n">
        <f aca="false">(EXP(LN($B$16) + $C$16*LN(F71)  + $D$16*LN(G71) + $E$16*LN(G71-H71)))/1000*D71*$M$16</f>
        <v>0.111895596862962</v>
      </c>
      <c r="AE71" s="42" t="n">
        <f aca="false">(EXP(LN($B$17) + $C$17*LN(F71)  + $D$17*LN(G71) +  $E$17*LN(K71)  +$F$17*LN(G71-H71)  +$G$17*LN(O71)   ))/1000*D71*$M$16</f>
        <v>0.0831735108807776</v>
      </c>
      <c r="AF71" s="43" t="n">
        <f aca="false">Y71/2.5</f>
        <v>0.061261158534779</v>
      </c>
      <c r="AG71" s="2"/>
      <c r="AH71" s="2"/>
      <c r="AI71" s="2"/>
      <c r="AJ71" s="2"/>
      <c r="AK71" s="3"/>
    </row>
    <row r="72" customFormat="false" ht="12.8" hidden="false" customHeight="false" outlineLevel="0" collapsed="false">
      <c r="D72" s="2" t="n">
        <v>10.0013913127003</v>
      </c>
      <c r="F72" s="0" t="n">
        <v>36.9</v>
      </c>
      <c r="G72" s="1" t="n">
        <v>20.6</v>
      </c>
      <c r="H72" s="1" t="n">
        <f aca="false">G72*(1-EXP(-ABS(1.2085-0.2392*G72/F72+0.00742*F72- 0.7897*LN(J72))))</f>
        <v>13.3211012084602</v>
      </c>
      <c r="J72" s="1" t="n">
        <v>20.6</v>
      </c>
      <c r="K72" s="44" t="n">
        <v>90</v>
      </c>
      <c r="M72" s="1" t="n">
        <f aca="false">(1.2783+0.11388*F72)*(1-EXP(-EXP(LN(F72/8.70522)*1.33944)))</f>
        <v>5.47506280554418</v>
      </c>
      <c r="N72" s="1" t="n">
        <f aca="false">(G72-H72)/G72</f>
        <v>0.353344601531058</v>
      </c>
      <c r="O72" s="1" t="n">
        <v>58</v>
      </c>
      <c r="S72" s="2"/>
      <c r="T72" s="2"/>
      <c r="U72" s="2"/>
      <c r="V72" s="2"/>
      <c r="W72" s="2"/>
      <c r="X72" s="2"/>
      <c r="Y72" s="25" t="n">
        <f aca="false">(EXP(-2.55154+$B$7*LN(F72)+$C$7*LN(G72)+$D$7*LN(M72)+$E$7*LN(N72))/1000*D72)*$M$7</f>
        <v>0.142109233014264</v>
      </c>
      <c r="Z72" s="38" t="n">
        <f aca="false">(EXP($B$13+$C$13*LN(F72)+$D$13*LN(G72)+$E$13*LN(100/G72*(G72-H72))))/1000*D72</f>
        <v>0.2375894233221</v>
      </c>
      <c r="AA72" s="39" t="n">
        <f aca="false">EXP($B$14+$C$14*LN(F72)+$D$14*LN(G72))/1000*D72</f>
        <v>0.129519582229318</v>
      </c>
      <c r="AB72" s="40" t="n">
        <f aca="false">($B$10+$C$10*F72^2+$D$10*F72^4)/1000*D72</f>
        <v>0.11928167608943</v>
      </c>
      <c r="AC72" s="41" t="n">
        <f aca="false">EXP(   $B$15  +  $C$15*(2+1.25*F72)/(2+1.25*F72+16)  +  $D$15*G72/(G72+1)    )/1000*D72</f>
        <v>0.189814321551341</v>
      </c>
      <c r="AD72" s="42" t="n">
        <f aca="false">(EXP(LN($B$16) + $C$16*LN(F72)  + $D$16*LN(G72) + $E$16*LN(G72-H72)))/1000*D72*$M$16</f>
        <v>0.106169939845267</v>
      </c>
      <c r="AE72" s="42" t="n">
        <f aca="false">(EXP(LN($B$17) + $C$17*LN(F72)  + $D$17*LN(G72) +  $E$17*LN(K72)  +$F$17*LN(G72-H72)  +$G$17*LN(O72)   ))/1000*D72*$M$16</f>
        <v>0.0792432454934075</v>
      </c>
      <c r="AF72" s="43" t="n">
        <f aca="false">Y72/2.5</f>
        <v>0.0568436932057055</v>
      </c>
      <c r="AG72" s="2"/>
      <c r="AH72" s="2"/>
      <c r="AI72" s="2"/>
      <c r="AJ72" s="2"/>
      <c r="AK72" s="3"/>
    </row>
    <row r="73" customFormat="false" ht="12.8" hidden="false" customHeight="false" outlineLevel="0" collapsed="false">
      <c r="D73" s="2" t="n">
        <v>19.9862550523052</v>
      </c>
      <c r="F73" s="0" t="n">
        <v>26.6</v>
      </c>
      <c r="G73" s="1" t="n">
        <v>20.6</v>
      </c>
      <c r="H73" s="1" t="n">
        <f aca="false">G73*(1-EXP(-ABS(1.2085-0.2392*G73/F73+0.00742*F73- 0.7897*LN(J73))))</f>
        <v>14.1964943356288</v>
      </c>
      <c r="J73" s="1" t="n">
        <v>20.6</v>
      </c>
      <c r="K73" s="44" t="n">
        <v>90</v>
      </c>
      <c r="M73" s="1" t="n">
        <f aca="false">(1.2783+0.11388*F73)*(1-EXP(-EXP(LN(F73/8.70522)*1.33944)))</f>
        <v>4.25792259033203</v>
      </c>
      <c r="N73" s="1" t="n">
        <f aca="false">(G73-H73)/G73</f>
        <v>0.310849789532582</v>
      </c>
      <c r="O73" s="1" t="n">
        <v>58</v>
      </c>
      <c r="S73" s="2"/>
      <c r="T73" s="2"/>
      <c r="U73" s="2"/>
      <c r="V73" s="2"/>
      <c r="W73" s="2"/>
      <c r="X73" s="2"/>
      <c r="Y73" s="25" t="n">
        <f aca="false">(EXP(-2.55154+$B$7*LN(F73)+$C$7*LN(G73)+$D$7*LN(M73)+$E$7*LN(N73))/1000*D73)*$M$7</f>
        <v>0.140607751904393</v>
      </c>
      <c r="Z73" s="38" t="n">
        <f aca="false">(EXP($B$13+$C$13*LN(F73)+$D$13*LN(G73)+$E$13*LN(100/G73*(G73-H73))))/1000*D73</f>
        <v>0.245444647042642</v>
      </c>
      <c r="AA73" s="39" t="n">
        <f aca="false">EXP($B$14+$C$14*LN(F73)+$D$14*LN(G73))/1000*D73</f>
        <v>0.15379603830151</v>
      </c>
      <c r="AB73" s="40" t="n">
        <f aca="false">($B$10+$C$10*F73^2+$D$10*F73^4)/1000*D73</f>
        <v>0.13471989441024</v>
      </c>
      <c r="AC73" s="41" t="n">
        <f aca="false">EXP(   $B$15  +  $C$15*(2+1.25*F73)/(2+1.25*F73+16)  +  $D$15*G73/(G73+1)    )/1000*D73</f>
        <v>0.175992996693805</v>
      </c>
      <c r="AD73" s="42" t="n">
        <f aca="false">(EXP(LN($B$16) + $C$16*LN(F73)  + $D$16*LN(G73) + $E$16*LN(G73-H73)))/1000*D73*$M$16</f>
        <v>0.129540304260582</v>
      </c>
      <c r="AE73" s="42" t="n">
        <f aca="false">(EXP(LN($B$17) + $C$17*LN(F73)  + $D$17*LN(G73) +  $E$17*LN(K73)  +$F$17*LN(G73-H73)  +$G$17*LN(O73)   ))/1000*D73*$M$16</f>
        <v>0.100434900740519</v>
      </c>
      <c r="AF73" s="43" t="n">
        <f aca="false">Y73/2.5</f>
        <v>0.0562431007617571</v>
      </c>
      <c r="AG73" s="2"/>
      <c r="AH73" s="2"/>
      <c r="AI73" s="2"/>
      <c r="AJ73" s="2"/>
      <c r="AK73" s="3"/>
    </row>
    <row r="74" customFormat="false" ht="12.8" hidden="false" customHeight="false" outlineLevel="0" collapsed="false">
      <c r="D74" s="2" t="n">
        <v>10.0013913127003</v>
      </c>
      <c r="F74" s="0" t="n">
        <v>31.2</v>
      </c>
      <c r="G74" s="1" t="n">
        <v>20.6</v>
      </c>
      <c r="H74" s="1" t="n">
        <f aca="false">G74*(1-EXP(-ABS((1.2085-0.2392*G74/F74+0.00742*F74- 0.7897*LN(J74)))))</f>
        <v>13.7906996251958</v>
      </c>
      <c r="J74" s="1" t="n">
        <v>20.6</v>
      </c>
      <c r="K74" s="44" t="n">
        <v>90</v>
      </c>
      <c r="M74" s="1" t="n">
        <f aca="false">(1.2783+0.11388*F74)*(1-EXP(-EXP(LN(F74/8.70522)*1.33944)))</f>
        <v>4.81215257616165</v>
      </c>
      <c r="N74" s="1" t="n">
        <f aca="false">(G74-H74)/G74</f>
        <v>0.3305485618837</v>
      </c>
      <c r="O74" s="1" t="n">
        <v>58</v>
      </c>
      <c r="S74" s="2"/>
      <c r="T74" s="2"/>
      <c r="U74" s="2"/>
      <c r="V74" s="2"/>
      <c r="W74" s="2"/>
      <c r="X74" s="2"/>
      <c r="Y74" s="25" t="n">
        <f aca="false">(EXP(-2.55154+$B$7*LN(F74)+$C$7*LN(G74)+$D$7*LN(M74)+$E$7*LN(N74))/1000*D74)*$M$7</f>
        <v>0.0990481476275321</v>
      </c>
      <c r="Z74" s="38" t="n">
        <f aca="false">(EXP($B$13+$C$13*LN(F74)+$D$13*LN(G74)+$E$13*LN(100/G74*(G74-H74))))/1000*D74</f>
        <v>0.169508259131016</v>
      </c>
      <c r="AA74" s="39" t="n">
        <f aca="false">EXP($B$14+$C$14*LN(F74)+$D$14*LN(G74))/1000*D74</f>
        <v>0.0991843344314295</v>
      </c>
      <c r="AB74" s="40" t="n">
        <f aca="false">($B$10+$C$10*F74^2+$D$10*F74^4)/1000*D74</f>
        <v>0.0884909604525963</v>
      </c>
      <c r="AC74" s="41" t="n">
        <f aca="false">EXP(   $B$15  +  $C$15*(2+1.25*F74)/(2+1.25*F74+16)  +  $D$15*G74/(G74+1)    )/1000*D74</f>
        <v>0.129534709655677</v>
      </c>
      <c r="AD74" s="42" t="n">
        <f aca="false">(EXP(LN($B$16) + $C$16*LN(F74)  + $D$16*LN(G74) + $E$16*LN(G74-H74)))/1000*D74*$M$16</f>
        <v>0.0824000088278982</v>
      </c>
      <c r="AE74" s="42" t="n">
        <f aca="false">(EXP(LN($B$17) + $C$17*LN(F74)  + $D$17*LN(G74) +  $E$17*LN(K74)  +$F$17*LN(G74-H74)  +$G$17*LN(O74)   ))/1000*D74*$M$16</f>
        <v>0.06272221767272</v>
      </c>
      <c r="AF74" s="43" t="n">
        <f aca="false">Y74/2.5</f>
        <v>0.0396192590510128</v>
      </c>
      <c r="AG74" s="2"/>
      <c r="AH74" s="2"/>
      <c r="AI74" s="2"/>
      <c r="AJ74" s="2"/>
      <c r="AK74" s="3"/>
    </row>
    <row r="75" customFormat="false" ht="12.8" hidden="false" customHeight="false" outlineLevel="0" collapsed="false">
      <c r="D75" s="2" t="n">
        <v>10.0013913127003</v>
      </c>
      <c r="F75" s="0" t="n">
        <v>39.6</v>
      </c>
      <c r="G75" s="1" t="n">
        <v>20.6</v>
      </c>
      <c r="H75" s="1" t="n">
        <f aca="false">G75*(1-EXP(-ABS((1.2085-0.2392*G75/F75+0.00742*F75- 0.7897*LN(J75)))))</f>
        <v>13.1058824209456</v>
      </c>
      <c r="J75" s="1" t="n">
        <v>20.6</v>
      </c>
      <c r="K75" s="44" t="n">
        <v>90</v>
      </c>
      <c r="M75" s="1" t="n">
        <f aca="false">(1.2783+0.11388*F75)*(1-EXP(-EXP(LN(F75/8.70522)*1.33944)))</f>
        <v>5.78507286936843</v>
      </c>
      <c r="N75" s="1" t="n">
        <f aca="false">(G75-H75)/G75</f>
        <v>0.363792115488079</v>
      </c>
      <c r="O75" s="1" t="n">
        <v>58</v>
      </c>
      <c r="S75" s="2"/>
      <c r="T75" s="2"/>
      <c r="U75" s="2"/>
      <c r="V75" s="2"/>
      <c r="W75" s="2"/>
      <c r="X75" s="2"/>
      <c r="Y75" s="25" t="n">
        <f aca="false">(EXP(-2.55154+$B$7*LN(F75)+$C$7*LN(G75)+$D$7*LN(M75)+$E$7*LN(N75))/1000*D75)*$M$7</f>
        <v>0.165571519629971</v>
      </c>
      <c r="Z75" s="38" t="n">
        <f aca="false">(EXP($B$13+$C$13*LN(F75)+$D$13*LN(G75)+$E$13*LN(100/G75*(G75-H75))))/1000*D75</f>
        <v>0.273689748026775</v>
      </c>
      <c r="AA75" s="39" t="n">
        <f aca="false">EXP($B$14+$C$14*LN(F75)+$D$14*LN(G75))/1000*D75</f>
        <v>0.144913851464879</v>
      </c>
      <c r="AB75" s="40" t="n">
        <f aca="false">($B$10+$C$10*F75^2+$D$10*F75^4)/1000*D75</f>
        <v>0.135676405681261</v>
      </c>
      <c r="AC75" s="41" t="n">
        <f aca="false">EXP(   $B$15  +  $C$15*(2+1.25*F75)/(2+1.25*F75+16)  +  $D$15*G75/(G75+1)    )/1000*D75</f>
        <v>0.221159757659108</v>
      </c>
      <c r="AD75" s="42" t="n">
        <f aca="false">(EXP(LN($B$16) + $C$16*LN(F75)  + $D$16*LN(G75) + $E$16*LN(G75-H75)))/1000*D75*$M$16</f>
        <v>0.118187504202291</v>
      </c>
      <c r="AE75" s="42" t="n">
        <f aca="false">(EXP(LN($B$17) + $C$17*LN(F75)  + $D$17*LN(G75) +  $E$17*LN(K75)  +$F$17*LN(G75-H75)  +$G$17*LN(O75)   ))/1000*D75*$M$16</f>
        <v>0.0874724866045269</v>
      </c>
      <c r="AF75" s="43" t="n">
        <f aca="false">Y75/2.5</f>
        <v>0.0662286078519885</v>
      </c>
      <c r="AG75" s="2"/>
      <c r="AH75" s="2"/>
      <c r="AI75" s="2"/>
      <c r="AJ75" s="2"/>
      <c r="AK75" s="3"/>
    </row>
    <row r="76" customFormat="false" ht="12.8" hidden="false" customHeight="false" outlineLevel="0" collapsed="false">
      <c r="D76" s="2" t="n">
        <v>10.0013913127003</v>
      </c>
      <c r="F76" s="0" t="n">
        <v>33.6</v>
      </c>
      <c r="G76" s="1" t="n">
        <v>20.6</v>
      </c>
      <c r="H76" s="1" t="n">
        <f aca="false">G76*(1-EXP(-ABS((1.2085-0.2392*G76/F76+0.00742*F76- 0.7897*LN(J76)))))</f>
        <v>13.5897151692147</v>
      </c>
      <c r="J76" s="1" t="n">
        <v>20.6</v>
      </c>
      <c r="K76" s="44" t="n">
        <v>90</v>
      </c>
      <c r="M76" s="1" t="n">
        <f aca="false">(1.2783+0.11388*F76)*(1-EXP(-EXP(LN(F76/8.70522)*1.33944)))</f>
        <v>5.09327210330491</v>
      </c>
      <c r="N76" s="1" t="n">
        <f aca="false">(G76-H76)/G76</f>
        <v>0.340305088873074</v>
      </c>
      <c r="O76" s="1" t="n">
        <v>58</v>
      </c>
      <c r="S76" s="2"/>
      <c r="T76" s="2"/>
      <c r="U76" s="2"/>
      <c r="V76" s="2"/>
      <c r="W76" s="2"/>
      <c r="X76" s="2"/>
      <c r="Y76" s="25" t="n">
        <f aca="false">(EXP(-2.55154+$B$7*LN(F76)+$C$7*LN(G76)+$D$7*LN(M76)+$E$7*LN(N76))/1000*D76)*$M$7</f>
        <v>0.116135089332942</v>
      </c>
      <c r="Z76" s="38" t="n">
        <f aca="false">(EXP($B$13+$C$13*LN(F76)+$D$13*LN(G76)+$E$13*LN(100/G76*(G76-H76))))/1000*D76</f>
        <v>0.196811592904553</v>
      </c>
      <c r="AA76" s="39" t="n">
        <f aca="false">EXP($B$14+$C$14*LN(F76)+$D$14*LN(G76))/1000*D76</f>
        <v>0.111590780817945</v>
      </c>
      <c r="AB76" s="40" t="n">
        <f aca="false">($B$10+$C$10*F76^2+$D$10*F76^4)/1000*D76</f>
        <v>0.100824109868407</v>
      </c>
      <c r="AC76" s="41" t="n">
        <f aca="false">EXP(   $B$15  +  $C$15*(2+1.25*F76)/(2+1.25*F76+16)  +  $D$15*G76/(G76+1)    )/1000*D76</f>
        <v>0.153836866591748</v>
      </c>
      <c r="AD76" s="42" t="n">
        <f aca="false">(EXP(LN($B$16) + $C$16*LN(F76)  + $D$16*LN(G76) + $E$16*LN(G76-H76)))/1000*D76*$M$16</f>
        <v>0.0921424184936451</v>
      </c>
      <c r="AE76" s="42" t="n">
        <f aca="false">(EXP(LN($B$17) + $C$17*LN(F76)  + $D$17*LN(G76) +  $E$17*LN(K76)  +$F$17*LN(G76-H76)  +$G$17*LN(O76)   ))/1000*D76*$M$16</f>
        <v>0.0695358098596469</v>
      </c>
      <c r="AF76" s="43" t="n">
        <f aca="false">Y76/2.5</f>
        <v>0.0464540357331769</v>
      </c>
      <c r="AG76" s="2"/>
      <c r="AH76" s="2"/>
      <c r="AI76" s="2"/>
      <c r="AJ76" s="2"/>
      <c r="AK76" s="3"/>
    </row>
    <row r="77" customFormat="false" ht="12.8" hidden="false" customHeight="false" outlineLevel="0" collapsed="false">
      <c r="D77" s="2" t="n">
        <v>10.0013913127003</v>
      </c>
      <c r="F77" s="0" t="n">
        <v>36.3</v>
      </c>
      <c r="G77" s="1" t="n">
        <v>20.6</v>
      </c>
      <c r="H77" s="1" t="n">
        <f aca="false">G77*(1-EXP(-ABS((1.2085-0.2392*G77/F77+0.00742*F77- 0.7897*LN(J77)))))</f>
        <v>13.3694120003026</v>
      </c>
      <c r="J77" s="1" t="n">
        <v>20.6</v>
      </c>
      <c r="K77" s="44" t="n">
        <v>90</v>
      </c>
      <c r="M77" s="1" t="n">
        <f aca="false">(1.2783+0.11388*F77)*(1-EXP(-EXP(LN(F77/8.70522)*1.33944)))</f>
        <v>5.40593580957897</v>
      </c>
      <c r="N77" s="1" t="n">
        <f aca="false">(G77-H77)/G77</f>
        <v>0.350999417461037</v>
      </c>
      <c r="O77" s="1" t="n">
        <v>58</v>
      </c>
      <c r="S77" s="2"/>
      <c r="T77" s="2"/>
      <c r="U77" s="2"/>
      <c r="V77" s="2"/>
      <c r="W77" s="2"/>
      <c r="X77" s="2"/>
      <c r="Y77" s="25" t="n">
        <f aca="false">(EXP(-2.55154+$B$7*LN(F77)+$C$7*LN(G77)+$D$7*LN(M77)+$E$7*LN(N77))/1000*D77)*$M$7</f>
        <v>0.137168545941017</v>
      </c>
      <c r="Z77" s="38" t="n">
        <f aca="false">(EXP($B$13+$C$13*LN(F77)+$D$13*LN(G77)+$E$13*LN(100/G77*(G77-H77))))/1000*D77</f>
        <v>0.229899559571688</v>
      </c>
      <c r="AA77" s="39" t="n">
        <f aca="false">EXP($B$14+$C$14*LN(F77)+$D$14*LN(G77))/1000*D77</f>
        <v>0.126186380525745</v>
      </c>
      <c r="AB77" s="40" t="n">
        <f aca="false">($B$10+$C$10*F77^2+$D$10*F77^4)/1000*D77</f>
        <v>0.115796514131065</v>
      </c>
      <c r="AC77" s="41" t="n">
        <f aca="false">EXP(   $B$15  +  $C$15*(2+1.25*F77)/(2+1.25*F77+16)  +  $D$15*G77/(G77+1)    )/1000*D77</f>
        <v>0.183070519547295</v>
      </c>
      <c r="AD77" s="42" t="n">
        <f aca="false">(EXP(LN($B$16) + $C$16*LN(F77)  + $D$16*LN(G77) + $E$16*LN(G77-H77)))/1000*D77*$M$16</f>
        <v>0.10356532679348</v>
      </c>
      <c r="AE77" s="42" t="n">
        <f aca="false">(EXP(LN($B$17) + $C$17*LN(F77)  + $D$17*LN(G77) +  $E$17*LN(K77)  +$F$17*LN(G77-H77)  +$G$17*LN(O77)   ))/1000*D77*$M$16</f>
        <v>0.0774494055734932</v>
      </c>
      <c r="AF77" s="43" t="n">
        <f aca="false">Y77/2.5</f>
        <v>0.054867418376407</v>
      </c>
      <c r="AG77" s="2"/>
      <c r="AH77" s="2"/>
      <c r="AI77" s="2"/>
      <c r="AJ77" s="2"/>
      <c r="AK77" s="3"/>
    </row>
    <row r="78" customFormat="false" ht="12.8" hidden="false" customHeight="false" outlineLevel="0" collapsed="false">
      <c r="D78" s="2" t="n">
        <v>19.9862550523052</v>
      </c>
      <c r="F78" s="0" t="n">
        <v>28.6</v>
      </c>
      <c r="G78" s="1" t="n">
        <v>20.6</v>
      </c>
      <c r="H78" s="1" t="n">
        <f aca="false">G78*(1-EXP(-ABS((1.2085-0.2392*G78/F78+0.00742*F78- 0.7897*LN(J78)))))</f>
        <v>14.0160175083199</v>
      </c>
      <c r="J78" s="1" t="n">
        <v>20.6</v>
      </c>
      <c r="K78" s="44" t="n">
        <v>90</v>
      </c>
      <c r="M78" s="1" t="n">
        <f aca="false">(1.2783+0.11388*F78)*(1-EXP(-EXP(LN(F78/8.70522)*1.33944)))</f>
        <v>4.50215369348384</v>
      </c>
      <c r="N78" s="1" t="n">
        <f aca="false">(G78-H78)/G78</f>
        <v>0.319610800566996</v>
      </c>
      <c r="O78" s="1" t="n">
        <v>58</v>
      </c>
      <c r="S78" s="2"/>
      <c r="T78" s="2"/>
      <c r="U78" s="2"/>
      <c r="V78" s="2"/>
      <c r="W78" s="2"/>
      <c r="X78" s="2"/>
      <c r="Y78" s="25" t="n">
        <f aca="false">(EXP(-2.55154+$B$7*LN(F78)+$C$7*LN(G78)+$D$7*LN(M78)+$E$7*LN(N78))/1000*D78)*$M$7</f>
        <v>0.164247904956279</v>
      </c>
      <c r="Z78" s="38" t="n">
        <f aca="false">(EXP($B$13+$C$13*LN(F78)+$D$13*LN(G78)+$E$13*LN(100/G78*(G78-H78))))/1000*D78</f>
        <v>0.28416870537603</v>
      </c>
      <c r="AA78" s="39" t="n">
        <f aca="false">EXP($B$14+$C$14*LN(F78)+$D$14*LN(G78))/1000*D78</f>
        <v>0.172590415088087</v>
      </c>
      <c r="AB78" s="40" t="n">
        <f aca="false">($B$10+$C$10*F78^2+$D$10*F78^4)/1000*D78</f>
        <v>0.152204457086226</v>
      </c>
      <c r="AC78" s="41" t="n">
        <f aca="false">EXP(   $B$15  +  $C$15*(2+1.25*F78)/(2+1.25*F78+16)  +  $D$15*G78/(G78+1)    )/1000*D78</f>
        <v>0.210258418700431</v>
      </c>
      <c r="AD78" s="42" t="n">
        <f aca="false">(EXP(LN($B$16) + $C$16*LN(F78)  + $D$16*LN(G78) + $E$16*LN(G78-H78)))/1000*D78*$M$16</f>
        <v>0.144454311997208</v>
      </c>
      <c r="AE78" s="42" t="n">
        <f aca="false">(EXP(LN($B$17) + $C$17*LN(F78)  + $D$17*LN(G78) +  $E$17*LN(K78)  +$F$17*LN(G78-H78)  +$G$17*LN(O78)   ))/1000*D78*$M$16</f>
        <v>0.111068103052775</v>
      </c>
      <c r="AF78" s="43" t="n">
        <f aca="false">Y78/2.5</f>
        <v>0.0656991619825118</v>
      </c>
      <c r="AG78" s="2"/>
      <c r="AH78" s="2"/>
      <c r="AI78" s="2"/>
      <c r="AJ78" s="2"/>
      <c r="AK78" s="3"/>
    </row>
    <row r="79" customFormat="false" ht="12.8" hidden="false" customHeight="false" outlineLevel="0" collapsed="false">
      <c r="D79" s="2" t="n">
        <v>10.0013913127003</v>
      </c>
      <c r="F79" s="0" t="n">
        <v>32.6</v>
      </c>
      <c r="G79" s="1" t="n">
        <v>20.6</v>
      </c>
      <c r="H79" s="1" t="n">
        <f aca="false">G79*(1-EXP(-ABS((1.2085-0.2392*G79/F79+0.00742*F79- 0.7897*LN(J79)))))</f>
        <v>13.6727715856553</v>
      </c>
      <c r="J79" s="1" t="n">
        <v>20.6</v>
      </c>
      <c r="K79" s="44" t="n">
        <v>90</v>
      </c>
      <c r="M79" s="1" t="n">
        <f aca="false">(1.2783+0.11388*F79)*(1-EXP(-EXP(LN(F79/8.70522)*1.33944)))</f>
        <v>4.97659410204525</v>
      </c>
      <c r="N79" s="1" t="n">
        <f aca="false">(G79-H79)/G79</f>
        <v>0.336273223997318</v>
      </c>
      <c r="O79" s="1" t="n">
        <v>58</v>
      </c>
      <c r="S79" s="2"/>
      <c r="T79" s="2"/>
      <c r="U79" s="2"/>
      <c r="V79" s="2"/>
      <c r="W79" s="2"/>
      <c r="X79" s="2"/>
      <c r="Y79" s="25" t="n">
        <f aca="false">(EXP(-2.55154+$B$7*LN(F79)+$C$7*LN(G79)+$D$7*LN(M79)+$E$7*LN(N79))/1000*D79)*$M$7</f>
        <v>0.108834294728706</v>
      </c>
      <c r="Z79" s="38" t="n">
        <f aca="false">(EXP($B$13+$C$13*LN(F79)+$D$13*LN(G79)+$E$13*LN(100/G79*(G79-H79))))/1000*D79</f>
        <v>0.185192283429752</v>
      </c>
      <c r="AA79" s="39" t="n">
        <f aca="false">EXP($B$14+$C$14*LN(F79)+$D$14*LN(G79))/1000*D79</f>
        <v>0.106355542128164</v>
      </c>
      <c r="AB79" s="40" t="n">
        <f aca="false">($B$10+$C$10*F79^2+$D$10*F79^4)/1000*D79</f>
        <v>0.095573762996467</v>
      </c>
      <c r="AC79" s="41" t="n">
        <f aca="false">EXP(   $B$15  +  $C$15*(2+1.25*F79)/(2+1.25*F79+16)  +  $D$15*G79/(G79+1)    )/1000*D79</f>
        <v>0.143506956768355</v>
      </c>
      <c r="AD79" s="42" t="n">
        <f aca="false">(EXP(LN($B$16) + $C$16*LN(F79)  + $D$16*LN(G79) + $E$16*LN(G79-H79)))/1000*D79*$M$16</f>
        <v>0.0880358491573167</v>
      </c>
      <c r="AE79" s="42" t="n">
        <f aca="false">(EXP(LN($B$17) + $C$17*LN(F79)  + $D$17*LN(G79) +  $E$17*LN(K79)  +$F$17*LN(G79-H79)  +$G$17*LN(O79)   ))/1000*D79*$M$16</f>
        <v>0.0666713452187848</v>
      </c>
      <c r="AF79" s="43" t="n">
        <f aca="false">Y79/2.5</f>
        <v>0.0435337178914826</v>
      </c>
      <c r="AG79" s="2"/>
      <c r="AH79" s="2"/>
      <c r="AI79" s="2"/>
      <c r="AJ79" s="2"/>
      <c r="AK79" s="3"/>
    </row>
    <row r="80" customFormat="false" ht="12.8" hidden="false" customHeight="false" outlineLevel="0" collapsed="false">
      <c r="D80" s="2" t="n">
        <v>19.9862550523052</v>
      </c>
      <c r="F80" s="0" t="n">
        <v>23.7</v>
      </c>
      <c r="G80" s="1" t="n">
        <v>20.6</v>
      </c>
      <c r="H80" s="1" t="n">
        <f aca="false">G80*(1-EXP(-ABS((1.2085-0.2392*G80/F80+0.00742*F80- 0.7897*LN(J80)))))</f>
        <v>14.4732742187196</v>
      </c>
      <c r="J80" s="1" t="n">
        <v>20.6</v>
      </c>
      <c r="K80" s="44" t="n">
        <v>90</v>
      </c>
      <c r="M80" s="1" t="n">
        <f aca="false">(1.2783+0.11388*F80)*(1-EXP(-EXP(LN(F80/8.70522)*1.33944)))</f>
        <v>3.89046542272706</v>
      </c>
      <c r="N80" s="1" t="n">
        <f aca="false">(G80-H80)/G80</f>
        <v>0.297413872877689</v>
      </c>
      <c r="O80" s="1" t="n">
        <v>58</v>
      </c>
      <c r="S80" s="2"/>
      <c r="T80" s="2"/>
      <c r="U80" s="2"/>
      <c r="V80" s="2"/>
      <c r="W80" s="2"/>
      <c r="X80" s="2"/>
      <c r="Y80" s="25" t="n">
        <f aca="false">(EXP(-2.55154+$B$7*LN(F80)+$C$7*LN(G80)+$D$7*LN(M80)+$E$7*LN(N80))/1000*D80)*$M$7</f>
        <v>0.109730494167032</v>
      </c>
      <c r="Z80" s="38" t="n">
        <f aca="false">(EXP($B$13+$C$13*LN(F80)+$D$13*LN(G80)+$E$13*LN(100/G80*(G80-H80))))/1000*D80</f>
        <v>0.194368904159292</v>
      </c>
      <c r="AA80" s="39" t="n">
        <f aca="false">EXP($B$14+$C$14*LN(F80)+$D$14*LN(G80))/1000*D80</f>
        <v>0.128001532229837</v>
      </c>
      <c r="AB80" s="40" t="n">
        <f aca="false">($B$10+$C$10*F80^2+$D$10*F80^4)/1000*D80</f>
        <v>0.111624236917181</v>
      </c>
      <c r="AC80" s="41" t="n">
        <f aca="false">EXP(   $B$15  +  $C$15*(2+1.25*F80)/(2+1.25*F80+16)  +  $D$15*G80/(G80+1)    )/1000*D80</f>
        <v>0.131541858880569</v>
      </c>
      <c r="AD80" s="42" t="n">
        <f aca="false">(EXP(LN($B$16) + $C$16*LN(F80)  + $D$16*LN(G80) + $E$16*LN(G80-H80)))/1000*D80*$M$16</f>
        <v>0.108909002066126</v>
      </c>
      <c r="AE80" s="42" t="n">
        <f aca="false">(EXP(LN($B$17) + $C$17*LN(F80)  + $D$17*LN(G80) +  $E$17*LN(K80)  +$F$17*LN(G80-H80)  +$G$17*LN(O80)   ))/1000*D80*$M$16</f>
        <v>0.0855666403708322</v>
      </c>
      <c r="AF80" s="43" t="n">
        <f aca="false">Y80/2.5</f>
        <v>0.0438921976668127</v>
      </c>
      <c r="AG80" s="2"/>
      <c r="AH80" s="2"/>
      <c r="AI80" s="2"/>
      <c r="AJ80" s="2"/>
      <c r="AK80" s="3"/>
    </row>
    <row r="81" customFormat="false" ht="12.8" hidden="false" customHeight="false" outlineLevel="0" collapsed="false">
      <c r="D81" s="2" t="n">
        <v>19.9862550523052</v>
      </c>
      <c r="F81" s="0" t="n">
        <v>29.4</v>
      </c>
      <c r="G81" s="1" t="n">
        <v>20.6</v>
      </c>
      <c r="H81" s="1" t="n">
        <f aca="false">G81*(1-EXP(-ABS((1.2085-0.2392*G81/F81+0.00742*F81- 0.7897*LN(J81)))))</f>
        <v>13.9456951429671</v>
      </c>
      <c r="J81" s="1" t="n">
        <v>20.6</v>
      </c>
      <c r="K81" s="44" t="n">
        <v>90</v>
      </c>
      <c r="M81" s="1" t="n">
        <f aca="false">(1.2783+0.11388*F81)*(1-EXP(-EXP(LN(F81/8.70522)*1.33944)))</f>
        <v>4.59830316838956</v>
      </c>
      <c r="N81" s="1" t="n">
        <f aca="false">(G81-H81)/G81</f>
        <v>0.323024507622956</v>
      </c>
      <c r="O81" s="1" t="n">
        <v>58</v>
      </c>
      <c r="S81" s="2"/>
      <c r="T81" s="2"/>
      <c r="U81" s="2"/>
      <c r="V81" s="2"/>
      <c r="W81" s="2"/>
      <c r="X81" s="2"/>
      <c r="Y81" s="25" t="n">
        <f aca="false">(EXP(-2.55154+$B$7*LN(F81)+$C$7*LN(G81)+$D$7*LN(M81)+$E$7*LN(N81))/1000*D81)*$M$7</f>
        <v>0.174252714187811</v>
      </c>
      <c r="Z81" s="38" t="n">
        <f aca="false">(EXP($B$13+$C$13*LN(F81)+$D$13*LN(G81)+$E$13*LN(100/G81*(G81-H81))))/1000*D81</f>
        <v>0.300452115540676</v>
      </c>
      <c r="AA81" s="39" t="n">
        <f aca="false">EXP($B$14+$C$14*LN(F81)+$D$14*LN(G81))/1000*D81</f>
        <v>0.180331356339788</v>
      </c>
      <c r="AB81" s="40" t="n">
        <f aca="false">($B$10+$C$10*F81^2+$D$10*F81^4)/1000*D81</f>
        <v>0.159554297599754</v>
      </c>
      <c r="AC81" s="41" t="n">
        <f aca="false">EXP(   $B$15  +  $C$15*(2+1.25*F81)/(2+1.25*F81+16)  +  $D$15*G81/(G81+1)    )/1000*D81</f>
        <v>0.224740348355496</v>
      </c>
      <c r="AD81" s="42" t="n">
        <f aca="false">(EXP(LN($B$16) + $C$16*LN(F81)  + $D$16*LN(G81) + $E$16*LN(G81-H81)))/1000*D81*$M$16</f>
        <v>0.150574309337813</v>
      </c>
      <c r="AE81" s="42" t="n">
        <f aca="false">(EXP(LN($B$17) + $C$17*LN(F81)  + $D$17*LN(G81) +  $E$17*LN(K81)  +$F$17*LN(G81-H81)  +$G$17*LN(O81)   ))/1000*D81*$M$16</f>
        <v>0.115406095284722</v>
      </c>
      <c r="AF81" s="43" t="n">
        <f aca="false">Y81/2.5</f>
        <v>0.0697010856751244</v>
      </c>
      <c r="AG81" s="2"/>
      <c r="AH81" s="2"/>
      <c r="AI81" s="2"/>
      <c r="AJ81" s="2"/>
      <c r="AK81" s="3"/>
    </row>
    <row r="82" customFormat="false" ht="12.8" hidden="false" customHeight="false" outlineLevel="0" collapsed="false">
      <c r="D82" s="2" t="n">
        <v>10.0013913127003</v>
      </c>
      <c r="F82" s="0" t="n">
        <v>31.2</v>
      </c>
      <c r="G82" s="1" t="n">
        <v>20.6</v>
      </c>
      <c r="H82" s="1" t="n">
        <f aca="false">G82*(1-EXP(-ABS((1.2085-0.2392*G82/F82+0.00742*F82- 0.7897*LN(J82)))))</f>
        <v>13.7906996251958</v>
      </c>
      <c r="J82" s="1" t="n">
        <v>20.6</v>
      </c>
      <c r="K82" s="44" t="n">
        <v>90</v>
      </c>
      <c r="M82" s="1" t="n">
        <f aca="false">(1.2783+0.11388*F82)*(1-EXP(-EXP(LN(F82/8.70522)*1.33944)))</f>
        <v>4.81215257616165</v>
      </c>
      <c r="N82" s="1" t="n">
        <f aca="false">(G82-H82)/G82</f>
        <v>0.3305485618837</v>
      </c>
      <c r="O82" s="1" t="n">
        <v>58</v>
      </c>
      <c r="S82" s="2"/>
      <c r="T82" s="2"/>
      <c r="U82" s="2"/>
      <c r="V82" s="2"/>
      <c r="W82" s="2"/>
      <c r="X82" s="2"/>
      <c r="Y82" s="25" t="n">
        <f aca="false">(EXP(-2.55154+$B$7*LN(F82)+$C$7*LN(G82)+$D$7*LN(M82)+$E$7*LN(N82))/1000*D82)*$M$7</f>
        <v>0.0990481476275321</v>
      </c>
      <c r="Z82" s="38" t="n">
        <f aca="false">(EXP($B$13+$C$13*LN(F82)+$D$13*LN(G82)+$E$13*LN(100/G82*(G82-H82))))/1000*D82</f>
        <v>0.169508259131016</v>
      </c>
      <c r="AA82" s="39" t="n">
        <f aca="false">EXP($B$14+$C$14*LN(F82)+$D$14*LN(G82))/1000*D82</f>
        <v>0.0991843344314295</v>
      </c>
      <c r="AB82" s="40" t="n">
        <f aca="false">($B$10+$C$10*F82^2+$D$10*F82^4)/1000*D82</f>
        <v>0.0884909604525963</v>
      </c>
      <c r="AC82" s="41" t="n">
        <f aca="false">EXP(   $B$15  +  $C$15*(2+1.25*F82)/(2+1.25*F82+16)  +  $D$15*G82/(G82+1)    )/1000*D82</f>
        <v>0.129534709655677</v>
      </c>
      <c r="AD82" s="42" t="n">
        <f aca="false">(EXP(LN($B$16) + $C$16*LN(F82)  + $D$16*LN(G82) + $E$16*LN(G82-H82)))/1000*D82*$M$16</f>
        <v>0.0824000088278982</v>
      </c>
      <c r="AE82" s="42" t="n">
        <f aca="false">(EXP(LN($B$17) + $C$17*LN(F82)  + $D$17*LN(G82) +  $E$17*LN(K82)  +$F$17*LN(G82-H82)  +$G$17*LN(O82)   ))/1000*D82*$M$16</f>
        <v>0.06272221767272</v>
      </c>
      <c r="AF82" s="43" t="n">
        <f aca="false">Y82/2.5</f>
        <v>0.0396192590510128</v>
      </c>
      <c r="AG82" s="2"/>
      <c r="AH82" s="2"/>
      <c r="AI82" s="2"/>
      <c r="AJ82" s="2"/>
      <c r="AK82" s="3"/>
    </row>
    <row r="83" customFormat="false" ht="12.8" hidden="false" customHeight="false" outlineLevel="0" collapsed="false">
      <c r="D83" s="2" t="n">
        <v>19.9862550523052</v>
      </c>
      <c r="F83" s="0" t="n">
        <v>29.6</v>
      </c>
      <c r="G83" s="1" t="n">
        <v>20.6</v>
      </c>
      <c r="H83" s="1" t="n">
        <f aca="false">G83*(1-EXP(-ABS((1.2085-0.2392*G83/F83+0.00742*F83- 0.7897*LN(J83)))))</f>
        <v>13.928261684632</v>
      </c>
      <c r="J83" s="1" t="n">
        <v>20.6</v>
      </c>
      <c r="K83" s="44" t="n">
        <v>90</v>
      </c>
      <c r="M83" s="1" t="n">
        <f aca="false">(1.2783+0.11388*F83)*(1-EXP(-EXP(LN(F83/8.70522)*1.33944)))</f>
        <v>4.62222442182443</v>
      </c>
      <c r="N83" s="1" t="n">
        <f aca="false">(G83-H83)/G83</f>
        <v>0.323870792008158</v>
      </c>
      <c r="O83" s="1" t="n">
        <v>58</v>
      </c>
      <c r="S83" s="2"/>
      <c r="T83" s="2"/>
      <c r="U83" s="2"/>
      <c r="V83" s="2"/>
      <c r="W83" s="2"/>
      <c r="X83" s="2"/>
      <c r="Y83" s="25" t="n">
        <f aca="false">(EXP(-2.55154+$B$7*LN(F83)+$C$7*LN(G83)+$D$7*LN(M83)+$E$7*LN(N83))/1000*D83)*$M$7</f>
        <v>0.17680353609775</v>
      </c>
      <c r="Z83" s="38" t="n">
        <f aca="false">(EXP($B$13+$C$13*LN(F83)+$D$13*LN(G83)+$E$13*LN(100/G83*(G83-H83))))/1000*D83</f>
        <v>0.304593520718125</v>
      </c>
      <c r="AA83" s="39" t="n">
        <f aca="false">EXP($B$14+$C$14*LN(F83)+$D$14*LN(G83))/1000*D83</f>
        <v>0.182286234760895</v>
      </c>
      <c r="AB83" s="40" t="n">
        <f aca="false">($B$10+$C$10*F83^2+$D$10*F83^4)/1000*D83</f>
        <v>0.161423556652022</v>
      </c>
      <c r="AC83" s="41" t="n">
        <f aca="false">EXP(   $B$15  +  $C$15*(2+1.25*F83)/(2+1.25*F83+16)  +  $D$15*G83/(G83+1)    )/1000*D83</f>
        <v>0.228427613230391</v>
      </c>
      <c r="AD83" s="42" t="n">
        <f aca="false">(EXP(LN($B$16) + $C$16*LN(F83)  + $D$16*LN(G83) + $E$16*LN(G83-H83)))/1000*D83*$M$16</f>
        <v>0.152118005078252</v>
      </c>
      <c r="AE83" s="42" t="n">
        <f aca="false">(EXP(LN($B$17) + $C$17*LN(F83)  + $D$17*LN(G83) +  $E$17*LN(K83)  +$F$17*LN(G83-H83)  +$G$17*LN(O83)   ))/1000*D83*$M$16</f>
        <v>0.116498076578315</v>
      </c>
      <c r="AF83" s="43" t="n">
        <f aca="false">Y83/2.5</f>
        <v>0.0707214144390998</v>
      </c>
      <c r="AG83" s="2"/>
      <c r="AH83" s="2"/>
      <c r="AI83" s="2"/>
      <c r="AJ83" s="2"/>
      <c r="AK83" s="3"/>
    </row>
    <row r="84" customFormat="false" ht="12.8" hidden="false" customHeight="false" outlineLevel="0" collapsed="false">
      <c r="D84" s="2" t="n">
        <v>10.0013913127003</v>
      </c>
      <c r="F84" s="0" t="n">
        <v>37.3</v>
      </c>
      <c r="G84" s="1" t="n">
        <v>20.6</v>
      </c>
      <c r="H84" s="1" t="n">
        <f aca="false">G84*(1-EXP(-ABS((1.2085-0.2392*G84/F84+0.00742*F84- 0.7897*LN(J84)))))</f>
        <v>13.2890032453899</v>
      </c>
      <c r="J84" s="1" t="n">
        <v>20.6</v>
      </c>
      <c r="K84" s="44" t="n">
        <v>90</v>
      </c>
      <c r="M84" s="1" t="n">
        <f aca="false">(1.2783+0.11388*F84)*(1-EXP(-EXP(LN(F84/8.70522)*1.33944)))</f>
        <v>5.52109219696672</v>
      </c>
      <c r="N84" s="1" t="n">
        <f aca="false">(G84-H84)/G84</f>
        <v>0.354902755078161</v>
      </c>
      <c r="O84" s="1" t="n">
        <v>58</v>
      </c>
      <c r="S84" s="2"/>
      <c r="T84" s="2"/>
      <c r="U84" s="2"/>
      <c r="V84" s="2"/>
      <c r="W84" s="2"/>
      <c r="X84" s="2"/>
      <c r="Y84" s="25" t="n">
        <f aca="false">(EXP(-2.55154+$B$7*LN(F84)+$C$7*LN(G84)+$D$7*LN(M84)+$E$7*LN(N84))/1000*D84)*$M$7</f>
        <v>0.145457698427506</v>
      </c>
      <c r="Z84" s="38" t="n">
        <f aca="false">(EXP($B$13+$C$13*LN(F84)+$D$13*LN(G84)+$E$13*LN(100/G84*(G84-H84))))/1000*D84</f>
        <v>0.242783518428161</v>
      </c>
      <c r="AA84" s="39" t="n">
        <f aca="false">EXP($B$14+$C$14*LN(F84)+$D$14*LN(G84))/1000*D84</f>
        <v>0.131759591888915</v>
      </c>
      <c r="AB84" s="40" t="n">
        <f aca="false">($B$10+$C$10*F84^2+$D$10*F84^4)/1000*D84</f>
        <v>0.121637047137168</v>
      </c>
      <c r="AC84" s="41" t="n">
        <f aca="false">EXP(   $B$15  +  $C$15*(2+1.25*F84)/(2+1.25*F84+16)  +  $D$15*G84/(G84+1)    )/1000*D84</f>
        <v>0.194356960833919</v>
      </c>
      <c r="AD84" s="42" t="n">
        <f aca="false">(EXP(LN($B$16) + $C$16*LN(F84)  + $D$16*LN(G84) + $E$16*LN(G84-H84)))/1000*D84*$M$16</f>
        <v>0.107919687165765</v>
      </c>
      <c r="AE84" s="42" t="n">
        <f aca="false">(EXP(LN($B$17) + $C$17*LN(F84)  + $D$17*LN(G84) +  $E$17*LN(K84)  +$F$17*LN(G84-H84)  +$G$17*LN(O84)   ))/1000*D84*$M$16</f>
        <v>0.0804462124468</v>
      </c>
      <c r="AF84" s="43" t="n">
        <f aca="false">Y84/2.5</f>
        <v>0.0581830793710026</v>
      </c>
      <c r="AG84" s="2"/>
      <c r="AH84" s="2"/>
      <c r="AI84" s="2"/>
      <c r="AJ84" s="2"/>
      <c r="AK84" s="3"/>
    </row>
    <row r="85" customFormat="false" ht="12.8" hidden="false" customHeight="false" outlineLevel="0" collapsed="false">
      <c r="D85" s="2" t="n">
        <v>10.0013913127003</v>
      </c>
      <c r="F85" s="0" t="n">
        <v>37.9</v>
      </c>
      <c r="G85" s="1" t="n">
        <v>20.6</v>
      </c>
      <c r="H85" s="1" t="n">
        <f aca="false">G85*(1-EXP(-ABS((1.2085-0.2392*G85/F85+0.00742*F85- 0.7897*LN(J85)))))</f>
        <v>13.2410078080515</v>
      </c>
      <c r="J85" s="1" t="n">
        <v>20.6</v>
      </c>
      <c r="K85" s="44" t="n">
        <v>90</v>
      </c>
      <c r="M85" s="1" t="n">
        <f aca="false">(1.2783+0.11388*F85)*(1-EXP(-EXP(LN(F85/8.70522)*1.33944)))</f>
        <v>5.59006195718085</v>
      </c>
      <c r="N85" s="1" t="n">
        <f aca="false">(G85-H85)/G85</f>
        <v>0.357232630677112</v>
      </c>
      <c r="O85" s="1" t="n">
        <v>58</v>
      </c>
      <c r="S85" s="2"/>
      <c r="T85" s="2"/>
      <c r="U85" s="2"/>
      <c r="V85" s="2"/>
      <c r="W85" s="2"/>
      <c r="X85" s="2"/>
      <c r="Y85" s="25" t="n">
        <f aca="false">(EXP(-2.55154+$B$7*LN(F85)+$C$7*LN(G85)+$D$7*LN(M85)+$E$7*LN(N85))/1000*D85)*$M$7</f>
        <v>0.150562938425639</v>
      </c>
      <c r="Z85" s="38" t="n">
        <f aca="false">(EXP($B$13+$C$13*LN(F85)+$D$13*LN(G85)+$E$13*LN(100/G85*(G85-H85))))/1000*D85</f>
        <v>0.250675566812693</v>
      </c>
      <c r="AA85" s="39" t="n">
        <f aca="false">EXP($B$14+$C$14*LN(F85)+$D$14*LN(G85))/1000*D85</f>
        <v>0.135146261722968</v>
      </c>
      <c r="AB85" s="40" t="n">
        <f aca="false">($B$10+$C$10*F85^2+$D$10*F85^4)/1000*D85</f>
        <v>0.125218010631193</v>
      </c>
      <c r="AC85" s="41" t="n">
        <f aca="false">EXP(   $B$15  +  $C$15*(2+1.25*F85)/(2+1.25*F85+16)  +  $D$15*G85/(G85+1)    )/1000*D85</f>
        <v>0.201239022948011</v>
      </c>
      <c r="AD85" s="42" t="n">
        <f aca="false">(EXP(LN($B$16) + $C$16*LN(F85)  + $D$16*LN(G85) + $E$16*LN(G85-H85)))/1000*D85*$M$16</f>
        <v>0.11056429967495</v>
      </c>
      <c r="AE85" s="42" t="n">
        <f aca="false">(EXP(LN($B$17) + $C$17*LN(F85)  + $D$17*LN(G85) +  $E$17*LN(K85)  +$F$17*LN(G85-H85)  +$G$17*LN(O85)   ))/1000*D85*$M$16</f>
        <v>0.082261243946866</v>
      </c>
      <c r="AF85" s="43" t="n">
        <f aca="false">Y85/2.5</f>
        <v>0.0602251753702557</v>
      </c>
      <c r="AG85" s="2"/>
      <c r="AH85" s="2"/>
      <c r="AI85" s="2"/>
      <c r="AJ85" s="2"/>
      <c r="AK85" s="3"/>
    </row>
    <row r="86" customFormat="false" ht="12.8" hidden="false" customHeight="false" outlineLevel="0" collapsed="false">
      <c r="D86" s="2" t="n">
        <v>10.0013913127003</v>
      </c>
      <c r="F86" s="0" t="n">
        <v>37</v>
      </c>
      <c r="G86" s="1" t="n">
        <v>20.6</v>
      </c>
      <c r="H86" s="1" t="n">
        <f aca="false">G86*(1-EXP(-ABS((1.2085-0.2392*G86/F86+0.00742*F86- 0.7897*LN(J86)))))</f>
        <v>13.3130688010849</v>
      </c>
      <c r="J86" s="1" t="n">
        <v>20.6</v>
      </c>
      <c r="K86" s="44" t="n">
        <v>90</v>
      </c>
      <c r="M86" s="1" t="n">
        <f aca="false">(1.2783+0.11388*F86)*(1-EXP(-EXP(LN(F86/8.70522)*1.33944)))</f>
        <v>5.4865741032008</v>
      </c>
      <c r="N86" s="1" t="n">
        <f aca="false">(G86-H86)/G86</f>
        <v>0.353734524219182</v>
      </c>
      <c r="O86" s="1" t="n">
        <v>58</v>
      </c>
      <c r="S86" s="2"/>
      <c r="T86" s="2"/>
      <c r="U86" s="2"/>
      <c r="V86" s="2"/>
      <c r="W86" s="2"/>
      <c r="X86" s="2"/>
      <c r="Y86" s="25" t="n">
        <f aca="false">(EXP(-2.55154+$B$7*LN(F86)+$C$7*LN(G86)+$D$7*LN(M86)+$E$7*LN(N86))/1000*D86)*$M$7</f>
        <v>0.142942237202806</v>
      </c>
      <c r="Z86" s="38" t="n">
        <f aca="false">(EXP($B$13+$C$13*LN(F86)+$D$13*LN(G86)+$E$13*LN(100/G86*(G86-H86))))/1000*D86</f>
        <v>0.238882891267324</v>
      </c>
      <c r="AA86" s="39" t="n">
        <f aca="false">EXP($B$14+$C$14*LN(F86)+$D$14*LN(G86))/1000*D86</f>
        <v>0.130078247478435</v>
      </c>
      <c r="AB86" s="40" t="n">
        <f aca="false">($B$10+$C$10*F86^2+$D$10*F86^4)/1000*D86</f>
        <v>0.119868123853072</v>
      </c>
      <c r="AC86" s="41" t="n">
        <f aca="false">EXP(   $B$15  +  $C$15*(2+1.25*F86)/(2+1.25*F86+16)  +  $D$15*G86/(G86+1)    )/1000*D86</f>
        <v>0.190946518620193</v>
      </c>
      <c r="AD86" s="42" t="n">
        <f aca="false">(EXP(LN($B$16) + $C$16*LN(F86)  + $D$16*LN(G86) + $E$16*LN(G86-H86)))/1000*D86*$M$16</f>
        <v>0.106606376659117</v>
      </c>
      <c r="AE86" s="42" t="n">
        <f aca="false">(EXP(LN($B$17) + $C$17*LN(F86)  + $D$17*LN(G86) +  $E$17*LN(K86)  +$F$17*LN(G86-H86)  +$G$17*LN(O86)   ))/1000*D86*$M$16</f>
        <v>0.0795434573637219</v>
      </c>
      <c r="AF86" s="43" t="n">
        <f aca="false">Y86/2.5</f>
        <v>0.0571768948811225</v>
      </c>
      <c r="AG86" s="2"/>
      <c r="AH86" s="2"/>
      <c r="AI86" s="2"/>
      <c r="AJ86" s="2"/>
      <c r="AK86" s="3"/>
    </row>
    <row r="87" customFormat="false" ht="12.8" hidden="false" customHeight="false" outlineLevel="0" collapsed="false">
      <c r="D87" s="2" t="n">
        <v>10.0013913127003</v>
      </c>
      <c r="F87" s="0" t="n">
        <v>31.4</v>
      </c>
      <c r="G87" s="1" t="n">
        <v>20.6</v>
      </c>
      <c r="H87" s="1" t="n">
        <f aca="false">G87*(1-EXP(-ABS((1.2085-0.2392*G87/F87+0.00742*F87- 0.7897*LN(J87)))))</f>
        <v>13.7737237173814</v>
      </c>
      <c r="J87" s="1" t="n">
        <v>20.6</v>
      </c>
      <c r="K87" s="44" t="n">
        <v>90</v>
      </c>
      <c r="M87" s="1" t="n">
        <f aca="false">(1.2783+0.11388*F87)*(1-EXP(-EXP(LN(F87/8.70522)*1.33944)))</f>
        <v>4.83573334318378</v>
      </c>
      <c r="N87" s="1" t="n">
        <f aca="false">(G87-H87)/G87</f>
        <v>0.331372635078572</v>
      </c>
      <c r="O87" s="1" t="n">
        <v>58</v>
      </c>
      <c r="S87" s="2"/>
      <c r="T87" s="2"/>
      <c r="U87" s="2"/>
      <c r="V87" s="2"/>
      <c r="W87" s="2"/>
      <c r="X87" s="2"/>
      <c r="Y87" s="25" t="n">
        <f aca="false">(EXP(-2.55154+$B$7*LN(F87)+$C$7*LN(G87)+$D$7*LN(M87)+$E$7*LN(N87))/1000*D87)*$M$7</f>
        <v>0.100415389092126</v>
      </c>
      <c r="Z87" s="38" t="n">
        <f aca="false">(EXP($B$13+$C$13*LN(F87)+$D$13*LN(G87)+$E$13*LN(100/G87*(G87-H87))))/1000*D87</f>
        <v>0.171707017233803</v>
      </c>
      <c r="AA87" s="39" t="n">
        <f aca="false">EXP($B$14+$C$14*LN(F87)+$D$14*LN(G87))/1000*D87</f>
        <v>0.100197392172213</v>
      </c>
      <c r="AB87" s="40" t="n">
        <f aca="false">($B$10+$C$10*F87^2+$D$10*F87^4)/1000*D87</f>
        <v>0.0894836750435506</v>
      </c>
      <c r="AC87" s="41" t="n">
        <f aca="false">EXP(   $B$15  +  $C$15*(2+1.25*F87)/(2+1.25*F87+16)  +  $D$15*G87/(G87+1)    )/1000*D87</f>
        <v>0.131494602405493</v>
      </c>
      <c r="AD87" s="42" t="n">
        <f aca="false">(EXP(LN($B$16) + $C$16*LN(F87)  + $D$16*LN(G87) + $E$16*LN(G87-H87)))/1000*D87*$M$16</f>
        <v>0.0831970085631657</v>
      </c>
      <c r="AE87" s="42" t="n">
        <f aca="false">(EXP(LN($B$17) + $C$17*LN(F87)  + $D$17*LN(G87) +  $E$17*LN(K87)  +$F$17*LN(G87-H87)  +$G$17*LN(O87)   ))/1000*D87*$M$16</f>
        <v>0.0632819875187219</v>
      </c>
      <c r="AF87" s="43" t="n">
        <f aca="false">Y87/2.5</f>
        <v>0.0401661556368503</v>
      </c>
      <c r="AG87" s="2"/>
      <c r="AH87" s="2"/>
      <c r="AI87" s="2"/>
      <c r="AJ87" s="2"/>
      <c r="AK87" s="3"/>
    </row>
    <row r="88" customFormat="false" ht="12.8" hidden="false" customHeight="false" outlineLevel="0" collapsed="false">
      <c r="D88" s="2" t="n">
        <v>10.0013913127003</v>
      </c>
      <c r="F88" s="0" t="n">
        <v>35.4</v>
      </c>
      <c r="G88" s="1" t="n">
        <v>20.6</v>
      </c>
      <c r="H88" s="1" t="n">
        <f aca="false">G88*(1-EXP(-ABS((1.2085-0.2392*G88/F88+0.00742*F88- 0.7897*LN(J88)))))</f>
        <v>13.4422818716943</v>
      </c>
      <c r="J88" s="1" t="n">
        <v>20.6</v>
      </c>
      <c r="K88" s="44" t="n">
        <v>90</v>
      </c>
      <c r="M88" s="1" t="n">
        <f aca="false">(1.2783+0.11388*F88)*(1-EXP(-EXP(LN(F88/8.70522)*1.33944)))</f>
        <v>5.30203301324469</v>
      </c>
      <c r="N88" s="1" t="n">
        <f aca="false">(G88-H88)/G88</f>
        <v>0.347462045063383</v>
      </c>
      <c r="O88" s="1" t="n">
        <v>58</v>
      </c>
      <c r="S88" s="2"/>
      <c r="T88" s="2"/>
      <c r="U88" s="2"/>
      <c r="V88" s="2"/>
      <c r="W88" s="2"/>
      <c r="X88" s="2"/>
      <c r="Y88" s="25" t="n">
        <f aca="false">(EXP(-2.55154+$B$7*LN(F88)+$C$7*LN(G88)+$D$7*LN(M88)+$E$7*LN(N88))/1000*D88)*$M$7</f>
        <v>0.129940621754936</v>
      </c>
      <c r="Z88" s="38" t="n">
        <f aca="false">(EXP($B$13+$C$13*LN(F88)+$D$13*LN(G88)+$E$13*LN(100/G88*(G88-H88))))/1000*D88</f>
        <v>0.218593621516096</v>
      </c>
      <c r="AA88" s="39" t="n">
        <f aca="false">EXP($B$14+$C$14*LN(F88)+$D$14*LN(G88))/1000*D88</f>
        <v>0.121247337618268</v>
      </c>
      <c r="AB88" s="40" t="n">
        <f aca="false">($B$10+$C$10*F88^2+$D$10*F88^4)/1000*D88</f>
        <v>0.110676501738782</v>
      </c>
      <c r="AC88" s="41" t="n">
        <f aca="false">EXP(   $B$15  +  $C$15*(2+1.25*F88)/(2+1.25*F88+16)  +  $D$15*G88/(G88+1)    )/1000*D88</f>
        <v>0.173118210841305</v>
      </c>
      <c r="AD88" s="42" t="n">
        <f aca="false">(EXP(LN($B$16) + $C$16*LN(F88)  + $D$16*LN(G88) + $E$16*LN(G88-H88)))/1000*D88*$M$16</f>
        <v>0.0997034763236831</v>
      </c>
      <c r="AE88" s="42" t="n">
        <f aca="false">(EXP(LN($B$17) + $C$17*LN(F88)  + $D$17*LN(G88) +  $E$17*LN(K88)  +$F$17*LN(G88-H88)  +$G$17*LN(O88)   ))/1000*D88*$M$16</f>
        <v>0.0747826026920989</v>
      </c>
      <c r="AF88" s="43" t="n">
        <f aca="false">Y88/2.5</f>
        <v>0.0519762487019746</v>
      </c>
      <c r="AG88" s="2"/>
      <c r="AH88" s="2"/>
      <c r="AI88" s="2"/>
      <c r="AJ88" s="2"/>
      <c r="AK88" s="3"/>
    </row>
    <row r="89" customFormat="false" ht="12.8" hidden="false" customHeight="false" outlineLevel="0" collapsed="false">
      <c r="D89" s="2" t="n">
        <v>10.0013913127003</v>
      </c>
      <c r="F89" s="0" t="n">
        <v>43.4</v>
      </c>
      <c r="G89" s="1" t="n">
        <v>20.6</v>
      </c>
      <c r="H89" s="1" t="n">
        <f aca="false">G89*(1-EXP(-ABS((1.2085-0.2392*G89/F89+0.00742*F89- 0.7897*LN(J89)))))</f>
        <v>12.8071286520988</v>
      </c>
      <c r="J89" s="1" t="n">
        <v>20.6</v>
      </c>
      <c r="K89" s="44" t="n">
        <v>90</v>
      </c>
      <c r="M89" s="1" t="n">
        <f aca="false">(1.2783+0.11388*F89)*(1-EXP(-EXP(LN(F89/8.70522)*1.33944)))</f>
        <v>6.21954769130351</v>
      </c>
      <c r="N89" s="1" t="n">
        <f aca="false">(G89-H89)/G89</f>
        <v>0.378294725626273</v>
      </c>
      <c r="O89" s="1" t="n">
        <v>58</v>
      </c>
      <c r="S89" s="2"/>
      <c r="T89" s="2"/>
      <c r="U89" s="2"/>
      <c r="V89" s="2"/>
      <c r="W89" s="2"/>
      <c r="X89" s="2"/>
      <c r="Y89" s="25" t="n">
        <f aca="false">(EXP(-2.55154+$B$7*LN(F89)+$C$7*LN(G89)+$D$7*LN(M89)+$E$7*LN(N89))/1000*D89)*$M$7</f>
        <v>0.202097025465855</v>
      </c>
      <c r="Z89" s="38" t="n">
        <f aca="false">(EXP($B$13+$C$13*LN(F89)+$D$13*LN(G89)+$E$13*LN(100/G89*(G89-H89))))/1000*D89</f>
        <v>0.328573173916733</v>
      </c>
      <c r="AA89" s="39" t="n">
        <f aca="false">EXP($B$14+$C$14*LN(F89)+$D$14*LN(G89))/1000*D89</f>
        <v>0.167647680638193</v>
      </c>
      <c r="AB89" s="40" t="n">
        <f aca="false">($B$10+$C$10*F89^2+$D$10*F89^4)/1000*D89</f>
        <v>0.160725234688077</v>
      </c>
      <c r="AC89" s="41" t="n">
        <f aca="false">EXP(   $B$15  +  $C$15*(2+1.25*F89)/(2+1.25*F89+16)  +  $D$15*G89/(G89+1)    )/1000*D89</f>
        <v>0.267682571813876</v>
      </c>
      <c r="AD89" s="42" t="n">
        <f aca="false">(EXP(LN($B$16) + $C$16*LN(F89)  + $D$16*LN(G89) + $E$16*LN(G89-H89)))/1000*D89*$M$16</f>
        <v>0.135922316264267</v>
      </c>
      <c r="AE89" s="42" t="n">
        <f aca="false">(EXP(LN($B$17) + $C$17*LN(F89)  + $D$17*LN(G89) +  $E$17*LN(K89)  +$F$17*LN(G89-H89)  +$G$17*LN(O89)   ))/1000*D89*$M$16</f>
        <v>0.0994850062513216</v>
      </c>
      <c r="AF89" s="43" t="n">
        <f aca="false">Y89/2.5</f>
        <v>0.0808388101863419</v>
      </c>
      <c r="AG89" s="2"/>
      <c r="AH89" s="2"/>
      <c r="AI89" s="2"/>
      <c r="AJ89" s="2"/>
      <c r="AK89" s="3"/>
    </row>
    <row r="90" customFormat="false" ht="12.8" hidden="false" customHeight="false" outlineLevel="0" collapsed="false">
      <c r="D90" s="2" t="n">
        <v>10.0013913127003</v>
      </c>
      <c r="F90" s="0" t="n">
        <v>38.8</v>
      </c>
      <c r="G90" s="1" t="n">
        <v>20.6</v>
      </c>
      <c r="H90" s="1" t="n">
        <f aca="false">G90*(1-EXP(-ABS((1.2085-0.2392*G90/F90+0.00742*F90- 0.7897*LN(J90)))))</f>
        <v>13.1693244606938</v>
      </c>
      <c r="J90" s="1" t="n">
        <v>20.6</v>
      </c>
      <c r="K90" s="44" t="n">
        <v>90</v>
      </c>
      <c r="M90" s="1" t="n">
        <f aca="false">(1.2783+0.11388*F90)*(1-EXP(-EXP(LN(F90/8.70522)*1.33944)))</f>
        <v>5.69336975832188</v>
      </c>
      <c r="N90" s="1" t="n">
        <f aca="false">(G90-H90)/G90</f>
        <v>0.360712404820691</v>
      </c>
      <c r="O90" s="1" t="n">
        <v>58</v>
      </c>
      <c r="S90" s="2"/>
      <c r="T90" s="2"/>
      <c r="U90" s="2"/>
      <c r="V90" s="2"/>
      <c r="W90" s="2"/>
      <c r="X90" s="2"/>
      <c r="Y90" s="25" t="n">
        <f aca="false">(EXP(-2.55154+$B$7*LN(F90)+$C$7*LN(G90)+$D$7*LN(M90)+$E$7*LN(N90))/1000*D90)*$M$7</f>
        <v>0.158407935793449</v>
      </c>
      <c r="Z90" s="38" t="n">
        <f aca="false">(EXP($B$13+$C$13*LN(F90)+$D$13*LN(G90)+$E$13*LN(100/G90*(G90-H90))))/1000*D90</f>
        <v>0.262739663863963</v>
      </c>
      <c r="AA90" s="39" t="n">
        <f aca="false">EXP($B$14+$C$14*LN(F90)+$D$14*LN(G90))/1000*D90</f>
        <v>0.140285830111501</v>
      </c>
      <c r="AB90" s="40" t="n">
        <f aca="false">($B$10+$C$10*F90^2+$D$10*F90^4)/1000*D90</f>
        <v>0.13069727989031</v>
      </c>
      <c r="AC90" s="41" t="n">
        <f aca="false">EXP(   $B$15  +  $C$15*(2+1.25*F90)/(2+1.25*F90+16)  +  $D$15*G90/(G90+1)    )/1000*D90</f>
        <v>0.211709921709832</v>
      </c>
      <c r="AD90" s="42" t="n">
        <f aca="false">(EXP(LN($B$16) + $C$16*LN(F90)  + $D$16*LN(G90) + $E$16*LN(G90-H90)))/1000*D90*$M$16</f>
        <v>0.11457616262993</v>
      </c>
      <c r="AE90" s="42" t="n">
        <f aca="false">(EXP(LN($B$17) + $C$17*LN(F90)  + $D$17*LN(G90) +  $E$17*LN(K90)  +$F$17*LN(G90-H90)  +$G$17*LN(O90)   ))/1000*D90*$M$16</f>
        <v>0.08500752438783</v>
      </c>
      <c r="AF90" s="43" t="n">
        <f aca="false">Y90/2.5</f>
        <v>0.0633631743173795</v>
      </c>
      <c r="AG90" s="2"/>
      <c r="AH90" s="2"/>
      <c r="AI90" s="2"/>
      <c r="AJ90" s="2"/>
      <c r="AK90" s="3"/>
    </row>
    <row r="91" customFormat="false" ht="12.8" hidden="false" customHeight="false" outlineLevel="0" collapsed="false">
      <c r="D91" s="2"/>
      <c r="S91" s="45" t="n">
        <f aca="false">U91*2.5</f>
        <v>4.7213988575</v>
      </c>
      <c r="T91" s="2"/>
      <c r="U91" s="0" t="n">
        <v>1.888559543</v>
      </c>
      <c r="V91" s="0"/>
      <c r="W91" s="0" t="n">
        <v>0.057963</v>
      </c>
      <c r="X91" s="2"/>
      <c r="Y91" s="45" t="n">
        <f aca="false">SUM(Y55:Y90)</f>
        <v>4.72139881112165</v>
      </c>
      <c r="Z91" s="2" t="n">
        <f aca="false">SUM(Z55:Z90)</f>
        <v>7.99557701433833</v>
      </c>
      <c r="AA91" s="2" t="n">
        <f aca="false">SUM(AA55:AA90)</f>
        <v>4.55368354606456</v>
      </c>
      <c r="AB91" s="2" t="n">
        <f aca="false">SUM(AB55:AB90)</f>
        <v>4.12530352872253</v>
      </c>
      <c r="AC91" s="2" t="n">
        <f aca="false">SUM(AC55:AC90)</f>
        <v>6.1943773374938</v>
      </c>
      <c r="AD91" s="2" t="n">
        <f aca="false">SUM(AD55:AD90)</f>
        <v>3.7663643572092</v>
      </c>
      <c r="AE91" s="2" t="n">
        <f aca="false">SUM(AE55:AE90)</f>
        <v>2.84757399391296</v>
      </c>
      <c r="AF91" s="2" t="n">
        <f aca="false">SUM(AF55:AF90)</f>
        <v>1.88855952444866</v>
      </c>
      <c r="AG91" s="2"/>
      <c r="AH91" s="2"/>
      <c r="AI91" s="27" t="n">
        <v>1.9465225404</v>
      </c>
      <c r="AJ91" s="2"/>
      <c r="AK91" s="3" t="n">
        <f aca="false">AI91/AN91</f>
        <v>0.999999998664285</v>
      </c>
      <c r="AN91" s="28" t="n">
        <f aca="false">SUM(U91:W91)</f>
        <v>1.946522543</v>
      </c>
    </row>
    <row r="92" customFormat="false" ht="12.8" hidden="false" customHeight="false" outlineLevel="0" collapsed="false">
      <c r="D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3"/>
    </row>
    <row r="93" customFormat="false" ht="12.8" hidden="false" customHeight="false" outlineLevel="0" collapsed="false">
      <c r="D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3"/>
    </row>
    <row r="94" customFormat="false" ht="12.8" hidden="false" customHeight="false" outlineLevel="0" collapsed="false">
      <c r="D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3"/>
    </row>
    <row r="95" customFormat="false" ht="12.8" hidden="false" customHeight="false" outlineLevel="0" collapsed="false">
      <c r="D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3"/>
    </row>
    <row r="96" customFormat="false" ht="12.8" hidden="false" customHeight="false" outlineLevel="0" collapsed="false">
      <c r="D96" s="2"/>
      <c r="J96" s="1" t="n">
        <f aca="false">4.6/252</f>
        <v>0.0182539682539683</v>
      </c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3"/>
    </row>
    <row r="97" customFormat="false" ht="12.8" hidden="false" customHeight="false" outlineLevel="0" collapsed="false">
      <c r="D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3"/>
    </row>
    <row r="98" customFormat="false" ht="18.55" hidden="false" customHeight="false" outlineLevel="0" collapsed="false">
      <c r="B98" s="19" t="s">
        <v>58</v>
      </c>
      <c r="D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3"/>
    </row>
    <row r="99" customFormat="false" ht="12.8" hidden="false" customHeight="false" outlineLevel="0" collapsed="false">
      <c r="A99" s="1" t="n">
        <v>10001</v>
      </c>
      <c r="D99" s="2" t="n">
        <v>19.9862550523052</v>
      </c>
      <c r="F99" s="1" t="n">
        <v>28.9</v>
      </c>
      <c r="R99" s="1" t="n">
        <f aca="false">S99/Y99</f>
        <v>0.999999978882761</v>
      </c>
      <c r="S99" s="2" t="n">
        <f aca="false">U99</f>
        <v>0.133725889</v>
      </c>
      <c r="T99" s="2"/>
      <c r="U99" s="22" t="n">
        <v>0.133725889</v>
      </c>
      <c r="V99" s="22"/>
      <c r="W99" s="0" t="n">
        <v>0.00252619</v>
      </c>
      <c r="X99" s="2"/>
      <c r="Y99" s="40" t="n">
        <f aca="false">($B$9+$C$9*F99^2+$D$9*F99^4)/1000*D99</f>
        <v>0.133725891823922</v>
      </c>
      <c r="Z99" s="2"/>
      <c r="AA99" s="2"/>
      <c r="AB99" s="2"/>
      <c r="AC99" s="2"/>
      <c r="AD99" s="2"/>
      <c r="AE99" s="2"/>
      <c r="AF99" s="17"/>
      <c r="AG99" s="2"/>
      <c r="AH99" s="2"/>
      <c r="AI99" s="27" t="n">
        <v>0.1362521</v>
      </c>
      <c r="AJ99" s="1" t="s">
        <v>57</v>
      </c>
      <c r="AK99" s="3" t="n">
        <f aca="false">AI99/AN99</f>
        <v>1.00000015412609</v>
      </c>
      <c r="AL99" s="1" t="e">
        <f aca="false">U99/AF99</f>
        <v>#DIV/0!</v>
      </c>
      <c r="AN99" s="28" t="n">
        <f aca="false">SUM(U99:W99)</f>
        <v>0.136252079</v>
      </c>
      <c r="AP99" s="1" t="n">
        <v>10001</v>
      </c>
    </row>
    <row r="100" customFormat="false" ht="12.8" hidden="false" customHeight="false" outlineLevel="0" collapsed="false">
      <c r="A100" s="1" t="n">
        <v>30159</v>
      </c>
      <c r="D100" s="2" t="n">
        <v>10.0013913127003</v>
      </c>
      <c r="F100" s="1" t="n">
        <v>64</v>
      </c>
      <c r="R100" s="1" t="n">
        <f aca="false">S100/Y100</f>
        <v>1.00000001765174</v>
      </c>
      <c r="S100" s="2" t="n">
        <f aca="false">U100</f>
        <v>0.35011164</v>
      </c>
      <c r="T100" s="2"/>
      <c r="U100" s="22" t="n">
        <v>0.35011164</v>
      </c>
      <c r="V100" s="22"/>
      <c r="W100" s="0" t="n">
        <v>0.00183545</v>
      </c>
      <c r="X100" s="2"/>
      <c r="Y100" s="40" t="n">
        <f aca="false">($B$9+$C$9*F100^2+$D$9*F100^4)/1000*D100</f>
        <v>0.350111633819919</v>
      </c>
      <c r="Z100" s="3"/>
      <c r="AA100" s="2"/>
      <c r="AB100" s="2"/>
      <c r="AC100" s="2"/>
      <c r="AD100" s="2"/>
      <c r="AE100" s="2"/>
      <c r="AF100" s="17"/>
      <c r="AG100" s="2"/>
      <c r="AH100" s="2"/>
      <c r="AI100" s="27" t="n">
        <v>0.3519471</v>
      </c>
      <c r="AJ100" s="1" t="s">
        <v>57</v>
      </c>
      <c r="AK100" s="3" t="n">
        <f aca="false">AI100/AN100</f>
        <v>1.00000002841336</v>
      </c>
      <c r="AL100" s="1" t="e">
        <f aca="false">U100/AF100</f>
        <v>#DIV/0!</v>
      </c>
      <c r="AN100" s="28" t="n">
        <f aca="false">SUM(U100:W100)</f>
        <v>0.35194709</v>
      </c>
      <c r="AP100" s="1" t="n">
        <v>30159</v>
      </c>
    </row>
    <row r="101" customFormat="false" ht="12.8" hidden="false" customHeight="false" outlineLevel="0" collapsed="false">
      <c r="D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customFormat="false" ht="18.55" hidden="false" customHeight="false" outlineLevel="0" collapsed="false">
      <c r="B102" s="19" t="s">
        <v>59</v>
      </c>
      <c r="D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customFormat="false" ht="13.8" hidden="false" customHeight="false" outlineLevel="0" collapsed="false">
      <c r="A103" s="1" t="n">
        <v>10018</v>
      </c>
      <c r="D103" s="2" t="n">
        <v>10.0013913127003</v>
      </c>
      <c r="F103" s="1" t="n">
        <v>85.9</v>
      </c>
      <c r="G103" s="1" t="n">
        <v>25.1</v>
      </c>
      <c r="J103" s="20" t="n">
        <v>20.4755555555556</v>
      </c>
      <c r="O103" s="1" t="n">
        <v>16</v>
      </c>
      <c r="R103" s="1" t="n">
        <f aca="false">S103/Z103</f>
        <v>1.00034484461031</v>
      </c>
      <c r="S103" s="2" t="n">
        <f aca="false">U103</f>
        <v>0.995984979</v>
      </c>
      <c r="T103" s="2"/>
      <c r="U103" s="22" t="n">
        <v>0.995984979</v>
      </c>
      <c r="V103" s="22"/>
      <c r="W103" s="0" t="n">
        <v>0.0092572</v>
      </c>
      <c r="X103" s="2"/>
      <c r="Y103" s="2" t="n">
        <f aca="false">(($B$12 + $F$12*O103) * F103^($C$12+$E$12*J103) * G103^$D$12  )/1000*D103</f>
        <v>0.587288342791319</v>
      </c>
      <c r="Z103" s="2" t="n">
        <f aca="false">($B$11  * F103^$C$11 * G103^$D$11)/1000*D103</f>
        <v>0.995641637347562</v>
      </c>
      <c r="AA103" s="2"/>
      <c r="AB103" s="2"/>
      <c r="AC103" s="2"/>
      <c r="AD103" s="2"/>
      <c r="AE103" s="2"/>
      <c r="AF103" s="2"/>
      <c r="AG103" s="2"/>
      <c r="AH103" s="2"/>
      <c r="AI103" s="45" t="n">
        <v>1.005242</v>
      </c>
      <c r="AJ103" s="1" t="str">
        <f aca="false">IF(AI103&lt;AF103,"-","+")</f>
        <v>+</v>
      </c>
      <c r="AK103" s="3" t="n">
        <f aca="false">AI103/AN103</f>
        <v>0.999999821933456</v>
      </c>
      <c r="AN103" s="28" t="n">
        <f aca="false">SUM(U103:W103)</f>
        <v>1.005242179</v>
      </c>
      <c r="AP103" s="1" t="n">
        <v>10018</v>
      </c>
    </row>
    <row r="104" customFormat="false" ht="12.8" hidden="false" customHeight="false" outlineLevel="0" collapsed="false">
      <c r="A104" s="1" t="n">
        <v>30109</v>
      </c>
      <c r="D104" s="2" t="n">
        <v>10.0013913127003</v>
      </c>
      <c r="F104" s="1" t="n">
        <v>30.2</v>
      </c>
      <c r="G104" s="1" t="n">
        <v>25.6</v>
      </c>
      <c r="J104" s="1" t="n">
        <v>31.4</v>
      </c>
      <c r="O104" s="1" t="n">
        <v>75</v>
      </c>
      <c r="R104" s="1" t="n">
        <f aca="false">S104/Z104</f>
        <v>1.00034484269788</v>
      </c>
      <c r="S104" s="2" t="n">
        <f aca="false">U104</f>
        <v>0.0771339</v>
      </c>
      <c r="T104" s="2"/>
      <c r="U104" s="22" t="n">
        <v>0.0771339</v>
      </c>
      <c r="V104" s="22"/>
      <c r="W104" s="0" t="n">
        <v>0.00131901</v>
      </c>
      <c r="X104" s="2"/>
      <c r="Y104" s="2" t="n">
        <f aca="false">(($B$12 + $F$12*O104) * F104^($C$12+$E$12*J104) * G104^$D$12  )/1000*D104</f>
        <v>0.0817355642747958</v>
      </c>
      <c r="Z104" s="2" t="n">
        <f aca="false">($B$11  * F104^$C$11 * G104^$D$11)/1000*D104</f>
        <v>0.077107310107156</v>
      </c>
      <c r="AA104" s="2"/>
      <c r="AB104" s="2"/>
      <c r="AC104" s="2"/>
      <c r="AD104" s="2"/>
      <c r="AE104" s="2"/>
      <c r="AF104" s="2"/>
      <c r="AG104" s="2"/>
      <c r="AH104" s="2"/>
      <c r="AI104" s="45" t="n">
        <v>0.07845291</v>
      </c>
      <c r="AJ104" s="2"/>
      <c r="AK104" s="3" t="n">
        <f aca="false">AI104/AN104</f>
        <v>1</v>
      </c>
      <c r="AN104" s="28" t="n">
        <f aca="false">SUM(U104:W104)</f>
        <v>0.07845291</v>
      </c>
    </row>
    <row r="105" customFormat="false" ht="13.8" hidden="false" customHeight="false" outlineLevel="0" collapsed="false">
      <c r="A105" s="1" t="n">
        <v>30110</v>
      </c>
      <c r="D105" s="2" t="n">
        <v>10.0013913127003</v>
      </c>
      <c r="F105" s="1" t="n">
        <v>33.7</v>
      </c>
      <c r="G105" s="1" t="n">
        <v>12.1</v>
      </c>
      <c r="J105" s="20" t="n">
        <v>24.2258064516129</v>
      </c>
      <c r="O105" s="1" t="n">
        <v>70</v>
      </c>
      <c r="R105" s="1" t="n">
        <f aca="false">S105/Z105</f>
        <v>1.00034484294895</v>
      </c>
      <c r="S105" s="2" t="n">
        <f aca="false">U105</f>
        <v>0.199576372</v>
      </c>
      <c r="T105" s="2"/>
      <c r="U105" s="22" t="n">
        <v>0.199576372</v>
      </c>
      <c r="V105" s="22"/>
      <c r="W105" s="44" t="n">
        <v>0.00189527</v>
      </c>
      <c r="X105" s="2"/>
      <c r="Y105" s="2" t="n">
        <f aca="false">(($B$12 + $F$12*O105) * F105^($C$12+$E$12*J105) * G105^$D$12  )/1000*D105</f>
        <v>0.172268197147722</v>
      </c>
      <c r="Z105" s="2" t="n">
        <f aca="false">($B$11  * F105^$C$11 * G105^$D$11)/1000*D105</f>
        <v>0.199507573220114</v>
      </c>
      <c r="AA105" s="2"/>
      <c r="AB105" s="2"/>
      <c r="AC105" s="2"/>
      <c r="AD105" s="2"/>
      <c r="AE105" s="2"/>
      <c r="AF105" s="2"/>
      <c r="AG105" s="2"/>
      <c r="AH105" s="2"/>
      <c r="AI105" s="45" t="n">
        <v>0.2014716</v>
      </c>
      <c r="AJ105" s="2"/>
      <c r="AK105" s="3" t="n">
        <f aca="false">AI105/AN105</f>
        <v>0.999999791533937</v>
      </c>
      <c r="AN105" s="28" t="n">
        <f aca="false">SUM(U105:W105)</f>
        <v>0.201471642</v>
      </c>
    </row>
    <row r="106" customFormat="false" ht="12.8" hidden="false" customHeight="false" outlineLevel="0" collapsed="false">
      <c r="A106" s="1" t="n">
        <v>80129</v>
      </c>
      <c r="D106" s="2" t="n">
        <v>10.0013913127003</v>
      </c>
      <c r="F106" s="1" t="n">
        <v>40.1</v>
      </c>
      <c r="G106" s="1" t="n">
        <v>15.7</v>
      </c>
      <c r="J106" s="1" t="n">
        <v>19.2</v>
      </c>
      <c r="O106" s="1" t="n">
        <v>620</v>
      </c>
      <c r="R106" s="1" t="n">
        <f aca="false">S106/Z106</f>
        <v>1.00034484532994</v>
      </c>
      <c r="S106" s="2" t="n">
        <f aca="false">U106</f>
        <v>0.240068927</v>
      </c>
      <c r="T106" s="2"/>
      <c r="U106" s="22" t="n">
        <v>0.240068927</v>
      </c>
      <c r="V106" s="22"/>
      <c r="W106" s="0" t="n">
        <v>0.00291997</v>
      </c>
      <c r="X106" s="2"/>
      <c r="Y106" s="2" t="n">
        <f aca="false">(($B$12 + $F$12*O106) * F106^($C$12+$E$12*J106) * G106^$D$12  )/1000*D106</f>
        <v>0.147777186475347</v>
      </c>
      <c r="Z106" s="2" t="n">
        <f aca="false">($B$11  * F106^$C$11 * G106^$D$11)/1000*D106</f>
        <v>0.239986168890407</v>
      </c>
      <c r="AA106" s="2"/>
      <c r="AB106" s="2"/>
      <c r="AC106" s="2"/>
      <c r="AD106" s="2"/>
      <c r="AE106" s="2"/>
      <c r="AF106" s="2"/>
      <c r="AG106" s="2"/>
      <c r="AH106" s="2"/>
      <c r="AI106" s="45" t="n">
        <v>0.2429889</v>
      </c>
      <c r="AJ106" s="2"/>
      <c r="AK106" s="3" t="n">
        <f aca="false">AI106/AN106</f>
        <v>1.00000001234624</v>
      </c>
      <c r="AN106" s="28" t="n">
        <f aca="false">SUM(U106:W106)</f>
        <v>0.242988897</v>
      </c>
    </row>
    <row r="107" customFormat="false" ht="13.8" hidden="false" customHeight="false" outlineLevel="0" collapsed="false">
      <c r="A107" s="1" t="n">
        <v>10019</v>
      </c>
      <c r="D107" s="2" t="n">
        <v>19.9862550523052</v>
      </c>
      <c r="F107" s="1" t="n">
        <v>12.5</v>
      </c>
      <c r="G107" s="1" t="n">
        <v>7.8</v>
      </c>
      <c r="J107" s="29"/>
      <c r="S107" s="2" t="n">
        <f aca="false">U107</f>
        <v>0.122273417</v>
      </c>
      <c r="T107" s="2"/>
      <c r="U107" s="22" t="n">
        <v>0.122273417</v>
      </c>
      <c r="V107" s="22"/>
      <c r="W107" s="0" t="n">
        <v>0.000506233</v>
      </c>
      <c r="X107" s="2"/>
      <c r="Y107" s="2"/>
      <c r="Z107" s="2" t="n">
        <f aca="false">($B$11  * F107^$C$11 * G107^$D$11)/1000*D107</f>
        <v>0.0534664974673404</v>
      </c>
      <c r="AA107" s="2" t="n">
        <f aca="false">SUM(Z107:Z108)</f>
        <v>0.122231270360905</v>
      </c>
      <c r="AB107" s="2"/>
      <c r="AC107" s="2"/>
      <c r="AD107" s="2"/>
      <c r="AE107" s="2"/>
      <c r="AF107" s="2"/>
      <c r="AG107" s="2"/>
      <c r="AH107" s="2"/>
      <c r="AI107" s="46" t="n">
        <v>0.2032692</v>
      </c>
      <c r="AJ107" s="2"/>
      <c r="AN107" s="28" t="n">
        <f aca="false">SUM(U107:W107)</f>
        <v>0.12277965</v>
      </c>
    </row>
    <row r="108" customFormat="false" ht="13.8" hidden="false" customHeight="false" outlineLevel="0" collapsed="false">
      <c r="B108" s="0"/>
      <c r="D108" s="2" t="n">
        <v>19.9862550523052</v>
      </c>
      <c r="F108" s="1" t="n">
        <v>19.1</v>
      </c>
      <c r="G108" s="1" t="n">
        <v>18.3</v>
      </c>
      <c r="J108" s="29"/>
      <c r="S108" s="2"/>
      <c r="T108" s="2"/>
      <c r="U108" s="2"/>
      <c r="V108" s="2"/>
      <c r="W108" s="2"/>
      <c r="X108" s="2"/>
      <c r="Y108" s="2"/>
      <c r="Z108" s="2" t="n">
        <f aca="false">($B$11  * F108^$C$11 * G108^$D$11)/1000*D108</f>
        <v>0.0687647728935651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0"/>
      <c r="AK108" s="0"/>
      <c r="AL108" s="0"/>
      <c r="AM108" s="0"/>
      <c r="AN108" s="0"/>
      <c r="AO108" s="0"/>
    </row>
    <row r="109" customFormat="false" ht="12.8" hidden="false" customHeight="false" outlineLevel="0" collapsed="false">
      <c r="D109" s="2" t="n">
        <v>31.8309886183791</v>
      </c>
      <c r="P109" s="1" t="n">
        <f aca="false">Jungwuchs!K59</f>
        <v>2346.23021021608</v>
      </c>
      <c r="S109" s="2"/>
      <c r="T109" s="2"/>
      <c r="U109" s="2"/>
      <c r="V109" s="2"/>
      <c r="W109" s="2"/>
      <c r="X109" s="2"/>
      <c r="Y109" s="31" t="n">
        <f aca="false">P109/1000000*D109</f>
        <v>0.0746828271174853</v>
      </c>
      <c r="Z109" s="2"/>
      <c r="AA109" s="2"/>
      <c r="AB109" s="2"/>
      <c r="AC109" s="2"/>
      <c r="AD109" s="2"/>
      <c r="AE109" s="2"/>
      <c r="AF109" s="47" t="n">
        <f aca="false">Y109</f>
        <v>0.0746828271174853</v>
      </c>
      <c r="AG109" s="2"/>
      <c r="AH109" s="2"/>
      <c r="AI109" s="2"/>
      <c r="AJ109" s="8" t="n">
        <f aca="false">AI107-AN107</f>
        <v>0.08048955</v>
      </c>
      <c r="AO109" s="1" t="n">
        <f aca="false">AN107+AF109</f>
        <v>0.197462477117485</v>
      </c>
    </row>
    <row r="110" customFormat="false" ht="12.8" hidden="false" customHeight="false" outlineLevel="0" collapsed="false">
      <c r="D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customFormat="false" ht="12.8" hidden="false" customHeight="false" outlineLevel="0" collapsed="false">
      <c r="D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customFormat="false" ht="12.8" hidden="false" customHeight="false" outlineLevel="0" collapsed="false">
      <c r="D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customFormat="false" ht="12.8" hidden="false" customHeight="false" outlineLevel="0" collapsed="false">
      <c r="D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customFormat="false" ht="12.8" hidden="false" customHeight="false" outlineLevel="0" collapsed="false">
      <c r="D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customFormat="false" ht="12.8" hidden="false" customHeight="false" outlineLevel="0" collapsed="false">
      <c r="D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customFormat="false" ht="12.8" hidden="false" customHeight="false" outlineLevel="0" collapsed="false">
      <c r="D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customFormat="false" ht="12.8" hidden="false" customHeight="false" outlineLevel="0" collapsed="false">
      <c r="D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customFormat="false" ht="12.8" hidden="false" customHeight="false" outlineLevel="0" collapsed="false">
      <c r="D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customFormat="false" ht="12.8" hidden="false" customHeight="false" outlineLevel="0" collapsed="false">
      <c r="D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customFormat="false" ht="12.8" hidden="false" customHeight="false" outlineLevel="0" collapsed="false">
      <c r="D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customFormat="false" ht="12.8" hidden="false" customHeight="false" outlineLevel="0" collapsed="false">
      <c r="D121" s="2"/>
    </row>
    <row r="122" customFormat="false" ht="12.8" hidden="false" customHeight="false" outlineLevel="0" collapsed="false">
      <c r="D122" s="2"/>
    </row>
    <row r="123" customFormat="false" ht="12.8" hidden="false" customHeight="false" outlineLevel="0" collapsed="false">
      <c r="D12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0" activeCellId="0" sqref="J20"/>
    </sheetView>
  </sheetViews>
  <sheetFormatPr defaultColWidth="11.875" defaultRowHeight="12.8" zeroHeight="false" outlineLevelRow="0" outlineLevelCol="0"/>
  <cols>
    <col collapsed="false" customWidth="true" hidden="false" outlineLevel="0" max="4" min="4" style="1" width="11.52"/>
    <col collapsed="false" customWidth="true" hidden="false" outlineLevel="0" max="6" min="6" style="1" width="16.67"/>
    <col collapsed="false" customWidth="true" hidden="false" outlineLevel="0" max="8" min="8" style="1" width="11.63"/>
  </cols>
  <sheetData>
    <row r="1" customFormat="false" ht="12.8" hidden="false" customHeight="false" outlineLevel="0" collapsed="false">
      <c r="A1" s="0" t="s">
        <v>60</v>
      </c>
    </row>
    <row r="3" customFormat="false" ht="12.8" hidden="false" customHeight="false" outlineLevel="0" collapsed="false">
      <c r="B3" s="48" t="s">
        <v>61</v>
      </c>
      <c r="F3" s="48" t="s">
        <v>62</v>
      </c>
      <c r="J3" s="48" t="s">
        <v>63</v>
      </c>
    </row>
    <row r="4" customFormat="false" ht="12.8" hidden="false" customHeight="false" outlineLevel="0" collapsed="false">
      <c r="A4" s="0" t="s">
        <v>64</v>
      </c>
      <c r="B4" s="3" t="n">
        <v>2.24952</v>
      </c>
      <c r="C4" s="3" t="n">
        <v>0.76318</v>
      </c>
      <c r="F4" s="1" t="n">
        <v>1.87856</v>
      </c>
      <c r="G4" s="0" t="n">
        <v>0.79034</v>
      </c>
      <c r="J4" s="0" t="n">
        <v>0.62342</v>
      </c>
      <c r="K4" s="0" t="n">
        <v>0.87409</v>
      </c>
    </row>
    <row r="5" customFormat="false" ht="12.8" hidden="false" customHeight="false" outlineLevel="0" collapsed="false">
      <c r="A5" s="0" t="s">
        <v>65</v>
      </c>
      <c r="B5" s="3" t="n">
        <v>0.08422</v>
      </c>
      <c r="C5" s="3" t="n">
        <v>1.78966</v>
      </c>
      <c r="F5" s="1" t="n">
        <v>0.03118</v>
      </c>
      <c r="G5" s="0" t="n">
        <v>1.961</v>
      </c>
      <c r="J5" s="0" t="n">
        <v>0.00135</v>
      </c>
      <c r="K5" s="0" t="n">
        <v>2.31682</v>
      </c>
    </row>
    <row r="6" customFormat="false" ht="12.8" hidden="false" customHeight="false" outlineLevel="0" collapsed="false">
      <c r="A6" s="0" t="s">
        <v>66</v>
      </c>
      <c r="B6" s="3" t="n">
        <v>0.202</v>
      </c>
      <c r="C6" s="3" t="n">
        <v>2.329</v>
      </c>
      <c r="F6" s="1" t="n">
        <v>0.169</v>
      </c>
      <c r="G6" s="0" t="n">
        <v>2.402</v>
      </c>
      <c r="J6" s="0" t="n">
        <v>0.113</v>
      </c>
      <c r="K6" s="0" t="n">
        <v>2.518</v>
      </c>
    </row>
    <row r="8" customFormat="false" ht="12.8" hidden="false" customHeight="false" outlineLevel="0" collapsed="false">
      <c r="D8" s="0"/>
    </row>
    <row r="9" customFormat="false" ht="12.8" hidden="false" customHeight="false" outlineLevel="0" collapsed="false">
      <c r="B9" s="48" t="s">
        <v>67</v>
      </c>
      <c r="F9" s="17" t="s">
        <v>68</v>
      </c>
    </row>
    <row r="10" customFormat="false" ht="12.8" hidden="false" customHeight="false" outlineLevel="0" collapsed="false">
      <c r="A10" s="0" t="s">
        <v>69</v>
      </c>
      <c r="B10" s="0" t="n">
        <v>0.243</v>
      </c>
      <c r="C10" s="0" t="n">
        <v>0.924</v>
      </c>
      <c r="D10" s="1" t="n">
        <v>-0.0282</v>
      </c>
      <c r="F10" s="1" t="n">
        <v>0.09</v>
      </c>
      <c r="G10" s="0" t="n">
        <v>0.889</v>
      </c>
      <c r="H10" s="1" t="n">
        <v>-0.0254</v>
      </c>
    </row>
    <row r="11" customFormat="false" ht="12.8" hidden="false" customHeight="false" outlineLevel="0" collapsed="false">
      <c r="B11" s="0" t="n">
        <v>-0.07</v>
      </c>
      <c r="C11" s="0" t="n">
        <v>1.236</v>
      </c>
      <c r="D11" s="1" t="n">
        <v>-0.0186</v>
      </c>
      <c r="F11" s="1" t="n">
        <v>-0.097</v>
      </c>
      <c r="G11" s="0" t="n">
        <v>1.071</v>
      </c>
      <c r="H11" s="1" t="n">
        <v>0.0179</v>
      </c>
    </row>
    <row r="13" customFormat="false" ht="12.8" hidden="false" customHeight="false" outlineLevel="0" collapsed="false">
      <c r="F13" s="2" t="s">
        <v>70</v>
      </c>
      <c r="J13" s="0" t="s">
        <v>71</v>
      </c>
    </row>
    <row r="14" customFormat="false" ht="12.8" hidden="false" customHeight="false" outlineLevel="0" collapsed="false">
      <c r="F14" s="0" t="s">
        <v>72</v>
      </c>
      <c r="G14" s="0" t="s">
        <v>73</v>
      </c>
      <c r="H14" s="1" t="s">
        <v>74</v>
      </c>
      <c r="J14" s="1"/>
      <c r="K14" s="1"/>
    </row>
    <row r="15" customFormat="false" ht="12.8" hidden="false" customHeight="false" outlineLevel="0" collapsed="false">
      <c r="A15" s="0" t="s">
        <v>75</v>
      </c>
      <c r="H15" s="0"/>
      <c r="J15" s="1"/>
    </row>
    <row r="16" customFormat="false" ht="12.8" hidden="false" customHeight="false" outlineLevel="0" collapsed="false">
      <c r="D16" s="1" t="s">
        <v>76</v>
      </c>
      <c r="E16" s="0" t="s">
        <v>77</v>
      </c>
      <c r="H16" s="0"/>
      <c r="J16" s="1"/>
    </row>
    <row r="17" customFormat="false" ht="12.8" hidden="false" customHeight="false" outlineLevel="0" collapsed="false">
      <c r="J17" s="1"/>
    </row>
    <row r="18" customFormat="false" ht="12.8" hidden="false" customHeight="false" outlineLevel="0" collapsed="false">
      <c r="A18" s="0" t="n">
        <v>80134</v>
      </c>
      <c r="D18" s="1" t="n">
        <v>310</v>
      </c>
      <c r="E18" s="0" t="n">
        <f aca="false">20*1.45</f>
        <v>29</v>
      </c>
      <c r="F18" s="1" t="n">
        <f aca="false">$B$4*((E18/10)^2*D18)^$C$4</f>
        <v>910.40175093583</v>
      </c>
      <c r="G18" s="1" t="n">
        <f aca="false">$B$5*D18^$C$5</f>
        <v>2421.61783260879</v>
      </c>
      <c r="H18" s="1" t="n">
        <f aca="false">$B$6*E18^$C$6</f>
        <v>514.370800158764</v>
      </c>
      <c r="I18" s="1"/>
      <c r="J18" s="1" t="n">
        <f aca="false">(  ( $C$11/($D$11*2) + ($C$11^2/($D$11^2*4) - ($B$11-LOG(F18))/$D$11 )^0.5 -$C$10/($D$10*2) )^2 -$C$10^2/($D$10^2*4) )*$D$10+$B$10</f>
        <v>2.4147216153079</v>
      </c>
      <c r="K18" s="1" t="n">
        <f aca="false">10^J18</f>
        <v>259.849338340636</v>
      </c>
      <c r="L18" s="1"/>
      <c r="M18" s="1"/>
    </row>
    <row r="19" customFormat="false" ht="12.8" hidden="false" customHeight="false" outlineLevel="0" collapsed="false">
      <c r="D19" s="1" t="n">
        <v>250</v>
      </c>
      <c r="E19" s="0" t="n">
        <f aca="false">20*1.45</f>
        <v>29</v>
      </c>
      <c r="F19" s="1" t="n">
        <f aca="false">$B$4*((E19/10)^2*D19)^$C$4</f>
        <v>772.565877871614</v>
      </c>
      <c r="G19" s="1" t="n">
        <f aca="false">$B$5*D19^$C$5</f>
        <v>1647.83056059888</v>
      </c>
      <c r="H19" s="1" t="n">
        <f aca="false">$B$6*E19^$C$6</f>
        <v>514.370800158764</v>
      </c>
      <c r="I19" s="1"/>
      <c r="J19" s="1" t="n">
        <f aca="false">(  ( $C$11/($D$11*2) + ($C$11^2/($D$11^2*4) - ($B$11-LOG(F19))/$D$11 )^0.5 -$C$10/($D$10*2) )^2 -$C$10^2/($D$10^2*4) )*$D$10+$B$10</f>
        <v>2.36591350249018</v>
      </c>
      <c r="K19" s="1" t="n">
        <f aca="false">10^J19</f>
        <v>232.227422786717</v>
      </c>
      <c r="L19" s="1"/>
      <c r="M19" s="1"/>
    </row>
    <row r="20" customFormat="false" ht="12.8" hidden="false" customHeight="false" outlineLevel="0" collapsed="false">
      <c r="D20" s="1" t="n">
        <v>210</v>
      </c>
      <c r="E20" s="0" t="n">
        <f aca="false">20*1.45</f>
        <v>29</v>
      </c>
      <c r="F20" s="1" t="n">
        <f aca="false">$B$4*((E20/10)^2*D20)^$C$4</f>
        <v>676.311836267953</v>
      </c>
      <c r="G20" s="1" t="n">
        <f aca="false">$B$5*D20^$C$5</f>
        <v>1206.1413875326</v>
      </c>
      <c r="H20" s="1" t="n">
        <f aca="false">$B$6*E20^$C$6</f>
        <v>514.370800158764</v>
      </c>
      <c r="I20" s="1"/>
      <c r="J20" s="1" t="n">
        <f aca="false">(  ( $C$11/($D$11*2) + ($C$11^2/($D$11^2*4) - ($B$11-LOG(F20))/$D$11 )^0.5 -$C$10/($D$10*2) )^2 -$C$10^2/($D$10^2*4) )*$D$10+$B$10</f>
        <v>2.32626507290418</v>
      </c>
      <c r="K20" s="1" t="n">
        <f aca="false">10^J20</f>
        <v>211.965447780574</v>
      </c>
      <c r="L20" s="1"/>
      <c r="M20" s="1"/>
    </row>
    <row r="21" customFormat="false" ht="12.8" hidden="false" customHeight="false" outlineLevel="0" collapsed="false">
      <c r="D21" s="1" t="n">
        <v>420</v>
      </c>
      <c r="E21" s="0" t="n">
        <f aca="false">20*1.45</f>
        <v>29</v>
      </c>
      <c r="F21" s="1" t="n">
        <f aca="false">$B$4*((E21/10)^2*D21)^$C$4</f>
        <v>1147.85507909951</v>
      </c>
      <c r="G21" s="1" t="n">
        <f aca="false">$B$5*D21^$C$5</f>
        <v>4170.03367515251</v>
      </c>
      <c r="H21" s="1" t="n">
        <f aca="false">$B$6*E21^$C$6</f>
        <v>514.370800158764</v>
      </c>
      <c r="I21" s="1"/>
      <c r="J21" s="1" t="n">
        <f aca="false">(  ( $C$11/($D$11*2) + ($C$11^2/($D$11^2*4) - ($B$11-LOG(F21))/$D$11 )^0.5 -$C$10/($D$10*2) )^2 -$C$10^2/($D$10^2*4) )*$D$10+$B$10</f>
        <v>2.48342028727311</v>
      </c>
      <c r="K21" s="1" t="n">
        <f aca="false">10^J21</f>
        <v>304.382925808185</v>
      </c>
      <c r="L21" s="1"/>
      <c r="M21" s="1"/>
    </row>
    <row r="22" customFormat="false" ht="12.8" hidden="false" customHeight="false" outlineLevel="0" collapsed="false">
      <c r="D22" s="1" t="n">
        <v>420</v>
      </c>
      <c r="E22" s="0" t="n">
        <f aca="false">20*1.45</f>
        <v>29</v>
      </c>
      <c r="F22" s="1" t="n">
        <f aca="false">$B$4*((E22/10)^2*D22)^$C$4</f>
        <v>1147.85507909951</v>
      </c>
      <c r="G22" s="1" t="n">
        <f aca="false">$B$5*D22^$C$5</f>
        <v>4170.03367515251</v>
      </c>
      <c r="H22" s="1" t="n">
        <f aca="false">$B$6*E22^$C$6</f>
        <v>514.370800158764</v>
      </c>
      <c r="I22" s="1"/>
      <c r="J22" s="1" t="n">
        <f aca="false">(  ( $C$11/($D$11*2) + ($C$11^2/($D$11^2*4) - ($B$11-LOG(F22))/$D$11 )^0.5 -$C$10/($D$10*2) )^2 -$C$10^2/($D$10^2*4) )*$D$10+$B$10</f>
        <v>2.48342028727311</v>
      </c>
      <c r="K22" s="1" t="n">
        <f aca="false">10^J22</f>
        <v>304.382925808185</v>
      </c>
      <c r="L22" s="1"/>
      <c r="M22" s="1"/>
    </row>
    <row r="23" customFormat="false" ht="12.8" hidden="false" customHeight="false" outlineLevel="0" collapsed="false">
      <c r="D23" s="1" t="n">
        <v>500</v>
      </c>
      <c r="E23" s="0" t="n">
        <f aca="false">20*1.45</f>
        <v>29</v>
      </c>
      <c r="F23" s="1" t="n">
        <f aca="false">$B$4*((E23/10)^2*D23)^$C$4</f>
        <v>1311.22009005112</v>
      </c>
      <c r="G23" s="1" t="n">
        <f aca="false">$B$5*D23^$C$5</f>
        <v>5697.10068792168</v>
      </c>
      <c r="H23" s="1" t="n">
        <f aca="false">$B$6*E23^$C$6</f>
        <v>514.370800158764</v>
      </c>
      <c r="I23" s="1"/>
      <c r="J23" s="1" t="n">
        <f aca="false">(  ( $C$11/($D$11*2) + ($C$11^2/($D$11^2*4) - ($B$11-LOG(F23))/$D$11 )^0.5 -$C$10/($D$10*2) )^2 -$C$10^2/($D$10^2*4) )*$D$10+$B$10</f>
        <v>2.52275263662828</v>
      </c>
      <c r="K23" s="1" t="n">
        <f aca="false">10^J23</f>
        <v>333.236555417557</v>
      </c>
      <c r="L23" s="1"/>
      <c r="M23" s="1"/>
    </row>
    <row r="24" customFormat="false" ht="12.8" hidden="false" customHeight="false" outlineLevel="0" collapsed="false">
      <c r="D24" s="1" t="n">
        <v>430</v>
      </c>
      <c r="E24" s="0" t="n">
        <f aca="false">20*1.45</f>
        <v>29</v>
      </c>
      <c r="F24" s="1" t="n">
        <f aca="false">$B$4*((E24/10)^2*D24)^$C$4</f>
        <v>1168.6544651411</v>
      </c>
      <c r="G24" s="1" t="n">
        <f aca="false">$B$5*D24^$C$5</f>
        <v>4349.39041739779</v>
      </c>
      <c r="H24" s="1" t="n">
        <f aca="false">$B$6*E24^$C$6</f>
        <v>514.370800158764</v>
      </c>
      <c r="I24" s="1"/>
      <c r="J24" s="1" t="n">
        <f aca="false">(  ( $C$11/($D$11*2) + ($C$11^2/($D$11^2*4) - ($B$11-LOG(F24))/$D$11 )^0.5 -$C$10/($D$10*2) )^2 -$C$10^2/($D$10^2*4) )*$D$10+$B$10</f>
        <v>2.488733212075</v>
      </c>
      <c r="K24" s="1" t="n">
        <f aca="false">10^J24</f>
        <v>308.12945236636</v>
      </c>
      <c r="L24" s="1"/>
      <c r="M24" s="1"/>
    </row>
    <row r="25" customFormat="false" ht="12.8" hidden="false" customHeight="false" outlineLevel="0" collapsed="false">
      <c r="D25" s="1" t="n">
        <v>200</v>
      </c>
      <c r="E25" s="0" t="n">
        <f aca="false">20*1.45</f>
        <v>29</v>
      </c>
      <c r="F25" s="1" t="n">
        <f aca="false">$B$4*((E25/10)^2*D25)^$C$4</f>
        <v>651.591993002174</v>
      </c>
      <c r="G25" s="1" t="n">
        <f aca="false">$B$5*D25^$C$5</f>
        <v>1105.29086103174</v>
      </c>
      <c r="H25" s="1" t="n">
        <f aca="false">$B$6*E25^$C$6</f>
        <v>514.370800158764</v>
      </c>
      <c r="I25" s="1"/>
      <c r="J25" s="1" t="n">
        <f aca="false">(  ( $C$11/($D$11*2) + ($C$11^2/($D$11^2*4) - ($B$11-LOG(F25))/$D$11 )^0.5 -$C$10/($D$10*2) )^2 -$C$10^2/($D$10^2*4) )*$D$10+$B$10</f>
        <v>2.31515597844504</v>
      </c>
      <c r="K25" s="1" t="n">
        <f aca="false">10^J25</f>
        <v>206.612207784039</v>
      </c>
      <c r="L25" s="1"/>
      <c r="M25" s="1"/>
    </row>
    <row r="26" customFormat="false" ht="12.8" hidden="false" customHeight="false" outlineLevel="0" collapsed="false">
      <c r="K26" s="0" t="n">
        <f aca="false">SUM(K18:K25)</f>
        <v>2160.78627609225</v>
      </c>
    </row>
    <row r="29" customFormat="false" ht="12.8" hidden="false" customHeight="false" outlineLevel="0" collapsed="false">
      <c r="A29" s="0" t="n">
        <v>80014</v>
      </c>
      <c r="D29" s="1" t="n">
        <v>100</v>
      </c>
      <c r="E29" s="0" t="n">
        <f aca="false">20*1.45</f>
        <v>29</v>
      </c>
      <c r="F29" s="1" t="n">
        <f aca="false">$F$4*((E29/10)^2*D29)^$G$4</f>
        <v>384.953558001016</v>
      </c>
      <c r="G29" s="1" t="n">
        <f aca="false">$F$5*D29^$G$5</f>
        <v>260.541021084503</v>
      </c>
      <c r="H29" s="1" t="n">
        <f aca="false">$F$6*E29^$G$6</f>
        <v>550.25841842822</v>
      </c>
      <c r="I29" s="1"/>
      <c r="J29" s="1" t="n">
        <f aca="false">(  ( $C$11/($D$11*2) + ($C$11^2/($D$11^2*4) - ($B$11-LOG(F29))/$D$11 )^0.5 -$C$10/($D$10*2) )^2 -$C$10^2/($D$10^2*4) )*$D$10+$B$10</f>
        <v>2.15748507626419</v>
      </c>
      <c r="K29" s="1" t="n">
        <f aca="false">10^J29</f>
        <v>143.709366941152</v>
      </c>
      <c r="M29" s="1"/>
    </row>
    <row r="30" customFormat="false" ht="12.8" hidden="false" customHeight="false" outlineLevel="0" collapsed="false">
      <c r="D30" s="1" t="n">
        <v>120</v>
      </c>
      <c r="E30" s="0" t="n">
        <f aca="false">20*1.45</f>
        <v>29</v>
      </c>
      <c r="F30" s="1" t="n">
        <f aca="false">$F$4*((E30/10)^2*D30)^$G$4</f>
        <v>444.619436607004</v>
      </c>
      <c r="G30" s="1" t="n">
        <f aca="false">$F$5*D30^$G$5</f>
        <v>372.520806353801</v>
      </c>
      <c r="H30" s="1" t="n">
        <f aca="false">$F$6*E30^$G$6</f>
        <v>550.25841842822</v>
      </c>
      <c r="I30" s="1"/>
      <c r="J30" s="1" t="n">
        <f aca="false">(  ( $C$11/($D$11*2) + ($C$11^2/($D$11^2*4) - ($B$11-LOG(F30))/$D$11 )^0.5 -$C$10/($D$10*2) )^2 -$C$10^2/($D$10^2*4) )*$D$10+$B$10</f>
        <v>2.20077485439077</v>
      </c>
      <c r="K30" s="1" t="n">
        <f aca="false">10^J30</f>
        <v>158.772343250835</v>
      </c>
      <c r="M30" s="1"/>
    </row>
    <row r="31" customFormat="false" ht="12.8" hidden="false" customHeight="false" outlineLevel="0" collapsed="false">
      <c r="D31" s="1" t="n">
        <v>120</v>
      </c>
      <c r="E31" s="0" t="n">
        <f aca="false">20*1.45</f>
        <v>29</v>
      </c>
      <c r="F31" s="1" t="n">
        <f aca="false">$F$4*((E31/10)^2*D31)^$G$4</f>
        <v>444.619436607004</v>
      </c>
      <c r="G31" s="1" t="n">
        <f aca="false">$F$5*D31^$G$5</f>
        <v>372.520806353801</v>
      </c>
      <c r="H31" s="1" t="n">
        <f aca="false">$F$6*E31^$G$6</f>
        <v>550.25841842822</v>
      </c>
      <c r="I31" s="1"/>
      <c r="J31" s="1" t="n">
        <f aca="false">(  ( $C$11/($D$11*2) + ($C$11^2/($D$11^2*4) - ($B$11-LOG(F31))/$D$11 )^0.5 -$C$10/($D$10*2) )^2 -$C$10^2/($D$10^2*4) )*$D$10+$B$10</f>
        <v>2.20077485439077</v>
      </c>
      <c r="K31" s="1" t="n">
        <f aca="false">10^J31</f>
        <v>158.772343250835</v>
      </c>
      <c r="M31" s="1"/>
    </row>
    <row r="32" customFormat="false" ht="12.8" hidden="false" customHeight="false" outlineLevel="0" collapsed="false">
      <c r="D32" s="1" t="n">
        <v>130</v>
      </c>
      <c r="E32" s="0" t="n">
        <f aca="false">20*1.45</f>
        <v>29</v>
      </c>
      <c r="F32" s="1" t="n">
        <f aca="false">$F$4*((E32/10)^2*D32)^$G$4</f>
        <v>473.655219130966</v>
      </c>
      <c r="G32" s="1" t="n">
        <f aca="false">$F$5*D32^$G$5</f>
        <v>435.831910217756</v>
      </c>
      <c r="H32" s="1" t="n">
        <f aca="false">$F$6*E32^$G$6</f>
        <v>550.25841842822</v>
      </c>
      <c r="I32" s="1"/>
      <c r="J32" s="1" t="n">
        <f aca="false">(  ( $C$11/($D$11*2) + ($C$11^2/($D$11^2*4) - ($B$11-LOG(F32))/$D$11 )^0.5 -$C$10/($D$10*2) )^2 -$C$10^2/($D$10^2*4) )*$D$10+$B$10</f>
        <v>2.21975129017028</v>
      </c>
      <c r="K32" s="1" t="n">
        <f aca="false">10^J32</f>
        <v>165.863677468343</v>
      </c>
      <c r="M32" s="1"/>
    </row>
    <row r="33" customFormat="false" ht="12.8" hidden="false" customHeight="false" outlineLevel="0" collapsed="false">
      <c r="D33" s="1" t="n">
        <v>150</v>
      </c>
      <c r="E33" s="0" t="n">
        <f aca="false">20*1.45</f>
        <v>29</v>
      </c>
      <c r="F33" s="1" t="n">
        <f aca="false">$F$4*((E33/10)^2*D33)^$G$4</f>
        <v>530.371652528864</v>
      </c>
      <c r="G33" s="1" t="n">
        <f aca="false">$F$5*D33^$G$5</f>
        <v>577.020270286505</v>
      </c>
      <c r="H33" s="1" t="n">
        <f aca="false">$F$6*E33^$G$6</f>
        <v>550.25841842822</v>
      </c>
      <c r="I33" s="1"/>
      <c r="J33" s="1" t="n">
        <f aca="false">(  ( $C$11/($D$11*2) + ($C$11^2/($D$11^2*4) - ($B$11-LOG(F33))/$D$11 )^0.5 -$C$10/($D$10*2) )^2 -$C$10^2/($D$10^2*4) )*$D$10+$B$10</f>
        <v>2.25363379247626</v>
      </c>
      <c r="K33" s="1" t="n">
        <f aca="false">10^J33</f>
        <v>179.322090226398</v>
      </c>
      <c r="M33" s="1"/>
    </row>
    <row r="34" customFormat="false" ht="12.8" hidden="false" customHeight="false" outlineLevel="0" collapsed="false">
      <c r="D34" s="1" t="n">
        <v>170</v>
      </c>
      <c r="E34" s="0" t="n">
        <f aca="false">20*1.45</f>
        <v>29</v>
      </c>
      <c r="F34" s="1" t="n">
        <f aca="false">$F$4*((E34/10)^2*D34)^$G$4</f>
        <v>585.519466646731</v>
      </c>
      <c r="G34" s="1" t="n">
        <f aca="false">$F$5*D34^$G$5</f>
        <v>737.541471889199</v>
      </c>
      <c r="H34" s="1" t="n">
        <f aca="false">$F$6*E34^$G$6</f>
        <v>550.25841842822</v>
      </c>
      <c r="I34" s="1"/>
      <c r="J34" s="1" t="n">
        <f aca="false">(  ( $C$11/($D$11*2) + ($C$11^2/($D$11^2*4) - ($B$11-LOG(F34))/$D$11 )^0.5 -$C$10/($D$10*2) )^2 -$C$10^2/($D$10^2*4) )*$D$10+$B$10</f>
        <v>2.28322302977345</v>
      </c>
      <c r="K34" s="1" t="n">
        <f aca="false">10^J34</f>
        <v>191.965431651657</v>
      </c>
      <c r="M34" s="1"/>
    </row>
    <row r="35" customFormat="false" ht="12.8" hidden="false" customHeight="false" outlineLevel="0" collapsed="false">
      <c r="D35" s="1" t="n">
        <v>180</v>
      </c>
      <c r="E35" s="0" t="n">
        <f aca="false">20*1.45</f>
        <v>29</v>
      </c>
      <c r="F35" s="1" t="n">
        <f aca="false">$F$4*((E35/10)^2*D35)^$G$4</f>
        <v>612.576609407741</v>
      </c>
      <c r="G35" s="1" t="n">
        <f aca="false">$F$5*D35^$G$5</f>
        <v>825.02193119102</v>
      </c>
      <c r="H35" s="1" t="n">
        <f aca="false">$F$6*E35^$G$6</f>
        <v>550.25841842822</v>
      </c>
      <c r="I35" s="1"/>
      <c r="J35" s="1" t="n">
        <f aca="false">(  ( $C$11/($D$11*2) + ($C$11^2/($D$11^2*4) - ($B$11-LOG(F35))/$D$11 )^0.5 -$C$10/($D$10*2) )^2 -$C$10^2/($D$10^2*4) )*$D$10+$B$10</f>
        <v>2.29672123452864</v>
      </c>
      <c r="K35" s="1" t="n">
        <f aca="false">10^J35</f>
        <v>198.025552894132</v>
      </c>
      <c r="M35" s="1"/>
    </row>
    <row r="36" customFormat="false" ht="12.8" hidden="false" customHeight="false" outlineLevel="0" collapsed="false">
      <c r="D36" s="1" t="n">
        <v>190</v>
      </c>
      <c r="E36" s="0" t="n">
        <f aca="false">20*1.45</f>
        <v>29</v>
      </c>
      <c r="F36" s="1" t="n">
        <f aca="false">$F$4*((E36/10)^2*D36)^$G$4</f>
        <v>639.320247634143</v>
      </c>
      <c r="G36" s="1" t="n">
        <f aca="false">$F$5*D36^$G$5</f>
        <v>917.301116940564</v>
      </c>
      <c r="H36" s="1" t="n">
        <f aca="false">$F$6*E36^$G$6</f>
        <v>550.25841842822</v>
      </c>
      <c r="I36" s="1"/>
      <c r="J36" s="1" t="n">
        <f aca="false">(  ( $C$11/($D$11*2) + ($C$11^2/($D$11^2*4) - ($B$11-LOG(F36))/$D$11 )^0.5 -$C$10/($D$10*2) )^2 -$C$10^2/($D$10^2*4) )*$D$10+$B$10</f>
        <v>2.30948114085486</v>
      </c>
      <c r="K36" s="1" t="n">
        <f aca="false">10^J36</f>
        <v>203.930010151436</v>
      </c>
      <c r="M36" s="1"/>
    </row>
    <row r="37" customFormat="false" ht="12.8" hidden="false" customHeight="false" outlineLevel="0" collapsed="false">
      <c r="D37" s="1" t="n">
        <v>200</v>
      </c>
      <c r="E37" s="0" t="n">
        <f aca="false">20*1.45</f>
        <v>29</v>
      </c>
      <c r="F37" s="1" t="n">
        <f aca="false">$F$4*((E37/10)^2*D37)^$G$4</f>
        <v>665.770250047896</v>
      </c>
      <c r="G37" s="1" t="n">
        <f aca="false">$F$5*D37^$G$5</f>
        <v>1014.36891597891</v>
      </c>
      <c r="H37" s="1" t="n">
        <f aca="false">$F$6*E37^$G$6</f>
        <v>550.25841842822</v>
      </c>
      <c r="I37" s="1"/>
      <c r="J37" s="1" t="n">
        <f aca="false">(  ( $C$11/($D$11*2) + ($C$11^2/($D$11^2*4) - ($B$11-LOG(F37))/$D$11 )^0.5 -$C$10/($D$10*2) )^2 -$C$10^2/($D$10^2*4) )*$D$10+$B$10</f>
        <v>2.32157892751072</v>
      </c>
      <c r="K37" s="1" t="n">
        <f aca="false">10^J37</f>
        <v>209.690583168966</v>
      </c>
      <c r="M37" s="1"/>
    </row>
    <row r="38" customFormat="false" ht="12.8" hidden="false" customHeight="false" outlineLevel="0" collapsed="false">
      <c r="D38" s="1" t="n">
        <v>210</v>
      </c>
      <c r="E38" s="0" t="n">
        <f aca="false">20*1.45</f>
        <v>29</v>
      </c>
      <c r="F38" s="1" t="n">
        <f aca="false">$F$4*((E38/10)^2*D38)^$G$4</f>
        <v>691.944298911995</v>
      </c>
      <c r="G38" s="1" t="n">
        <f aca="false">$F$5*D38^$G$5</f>
        <v>1116.21575419159</v>
      </c>
      <c r="H38" s="1" t="n">
        <f aca="false">$F$6*E38^$G$6</f>
        <v>550.25841842822</v>
      </c>
      <c r="I38" s="1"/>
      <c r="J38" s="1" t="n">
        <f aca="false">(  ( $C$11/($D$11*2) + ($C$11^2/($D$11^2*4) - ($B$11-LOG(F38))/$D$11 )^0.5 -$C$10/($D$10*2) )^2 -$C$10^2/($D$10^2*4) )*$D$10+$B$10</f>
        <v>2.33307957766476</v>
      </c>
      <c r="K38" s="1" t="n">
        <f aca="false">10^J38</f>
        <v>215.317623441645</v>
      </c>
      <c r="M38" s="21"/>
    </row>
    <row r="39" customFormat="false" ht="12.8" hidden="false" customHeight="false" outlineLevel="0" collapsed="false">
      <c r="D39" s="1" t="n">
        <v>240</v>
      </c>
      <c r="E39" s="0" t="n">
        <f aca="false">20*1.45</f>
        <v>29</v>
      </c>
      <c r="F39" s="1" t="n">
        <f aca="false">$F$4*((E39/10)^2*D39)^$G$4</f>
        <v>768.961313211756</v>
      </c>
      <c r="G39" s="1" t="n">
        <f aca="false">$F$5*D39^$G$5</f>
        <v>1450.34177323707</v>
      </c>
      <c r="H39" s="1" t="n">
        <f aca="false">$F$6*E39^$G$6</f>
        <v>550.25841842822</v>
      </c>
      <c r="I39" s="1"/>
      <c r="J39" s="1" t="n">
        <f aca="false">(  ( $C$11/($D$11*2) + ($C$11^2/($D$11^2*4) - ($B$11-LOG(F39))/$D$11 )^0.5 -$C$10/($D$10*2) )^2 -$C$10^2/($D$10^2*4) )*$D$10+$B$10</f>
        <v>2.36452135739987</v>
      </c>
      <c r="K39" s="1" t="n">
        <f aca="false">10^J39</f>
        <v>231.484202073595</v>
      </c>
      <c r="M39" s="21"/>
    </row>
    <row r="40" customFormat="false" ht="12.8" hidden="false" customHeight="false" outlineLevel="0" collapsed="false">
      <c r="D40" s="1" t="n">
        <v>240</v>
      </c>
      <c r="E40" s="0" t="n">
        <f aca="false">20*1.45</f>
        <v>29</v>
      </c>
      <c r="F40" s="1" t="n">
        <f aca="false">$F$4*((E40/10)^2*D40)^$G$4</f>
        <v>768.961313211756</v>
      </c>
      <c r="G40" s="1" t="n">
        <f aca="false">$F$5*D40^$G$5</f>
        <v>1450.34177323707</v>
      </c>
      <c r="H40" s="1" t="n">
        <f aca="false">$F$6*E40^$G$6</f>
        <v>550.25841842822</v>
      </c>
      <c r="I40" s="1"/>
      <c r="J40" s="1" t="n">
        <f aca="false">(  ( $C$11/($D$11*2) + ($C$11^2/($D$11^2*4) - ($B$11-LOG(F40))/$D$11 )^0.5 -$C$10/($D$10*2) )^2 -$C$10^2/($D$10^2*4) )*$D$10+$B$10</f>
        <v>2.36452135739987</v>
      </c>
      <c r="K40" s="1" t="n">
        <f aca="false">10^J40</f>
        <v>231.484202073595</v>
      </c>
      <c r="M40" s="21"/>
    </row>
    <row r="41" customFormat="false" ht="12.8" hidden="false" customHeight="false" outlineLevel="0" collapsed="false">
      <c r="D41" s="1" t="n">
        <v>250</v>
      </c>
      <c r="E41" s="0" t="n">
        <f aca="false">20*1.45</f>
        <v>29</v>
      </c>
      <c r="F41" s="1" t="n">
        <f aca="false">$F$4*((E41/10)^2*D41)^$G$4</f>
        <v>794.175059950349</v>
      </c>
      <c r="G41" s="1" t="n">
        <f aca="false">$F$5*D41^$G$5</f>
        <v>1571.21807986339</v>
      </c>
      <c r="H41" s="1" t="n">
        <f aca="false">$F$6*E41^$G$6</f>
        <v>550.25841842822</v>
      </c>
      <c r="I41" s="1"/>
      <c r="J41" s="1" t="n">
        <f aca="false">(  ( $C$11/($D$11*2) + ($C$11^2/($D$11^2*4) - ($B$11-LOG(F41))/$D$11 )^0.5 -$C$10/($D$10*2) )^2 -$C$10^2/($D$10^2*4) )*$D$10+$B$10</f>
        <v>2.37412355264585</v>
      </c>
      <c r="K41" s="1" t="n">
        <f aca="false">10^J41</f>
        <v>236.659287486916</v>
      </c>
      <c r="M41" s="21"/>
    </row>
    <row r="42" customFormat="false" ht="12.8" hidden="false" customHeight="false" outlineLevel="0" collapsed="false">
      <c r="D42" s="1" t="n">
        <v>250</v>
      </c>
      <c r="E42" s="0" t="n">
        <f aca="false">20*1.45</f>
        <v>29</v>
      </c>
      <c r="F42" s="1" t="n">
        <f aca="false">$F$4*((E42/10)^2*D42)^$G$4</f>
        <v>794.175059950349</v>
      </c>
      <c r="G42" s="1" t="n">
        <f aca="false">$F$5*D42^$G$5</f>
        <v>1571.21807986339</v>
      </c>
      <c r="H42" s="1" t="n">
        <f aca="false">$F$6*E42^$G$6</f>
        <v>550.25841842822</v>
      </c>
      <c r="I42" s="1"/>
      <c r="J42" s="1" t="n">
        <f aca="false">(  ( $C$11/($D$11*2) + ($C$11^2/($D$11^2*4) - ($B$11-LOG(F42))/$D$11 )^0.5 -$C$10/($D$10*2) )^2 -$C$10^2/($D$10^2*4) )*$D$10+$B$10</f>
        <v>2.37412355264585</v>
      </c>
      <c r="K42" s="1" t="n">
        <f aca="false">10^J42</f>
        <v>236.659287486916</v>
      </c>
      <c r="M42" s="21"/>
    </row>
    <row r="43" customFormat="false" ht="12.8" hidden="false" customHeight="false" outlineLevel="0" collapsed="false">
      <c r="D43" s="1" t="n">
        <v>260</v>
      </c>
      <c r="E43" s="0" t="n">
        <f aca="false">20*1.45</f>
        <v>29</v>
      </c>
      <c r="F43" s="1" t="n">
        <f aca="false">$F$4*((E43/10)^2*D43)^$G$4</f>
        <v>819.178176491829</v>
      </c>
      <c r="G43" s="1" t="n">
        <f aca="false">$F$5*D43^$G$5</f>
        <v>1696.83200164175</v>
      </c>
      <c r="H43" s="1" t="n">
        <f aca="false">$F$6*E43^$G$6</f>
        <v>550.25841842822</v>
      </c>
      <c r="I43" s="1"/>
      <c r="J43" s="1" t="n">
        <f aca="false">(  ( $C$11/($D$11*2) + ($C$11^2/($D$11^2*4) - ($B$11-LOG(F43))/$D$11 )^0.5 -$C$10/($D$10*2) )^2 -$C$10^2/($D$10^2*4) )*$D$10+$B$10</f>
        <v>2.38334471794621</v>
      </c>
      <c r="K43" s="1" t="n">
        <f aca="false">10^J43</f>
        <v>241.737884923915</v>
      </c>
      <c r="M43" s="21"/>
    </row>
    <row r="44" customFormat="false" ht="12.8" hidden="false" customHeight="false" outlineLevel="0" collapsed="false">
      <c r="D44" s="1" t="n">
        <v>300</v>
      </c>
      <c r="E44" s="0" t="n">
        <f aca="false">20*1.45</f>
        <v>29</v>
      </c>
      <c r="F44" s="1" t="n">
        <f aca="false">$F$4*((E44/10)^2*D44)^$G$4</f>
        <v>917.268227253338</v>
      </c>
      <c r="G44" s="1" t="n">
        <f aca="false">$F$5*D44^$G$5</f>
        <v>2246.52311421833</v>
      </c>
      <c r="H44" s="1" t="n">
        <f aca="false">$F$6*E44^$G$6</f>
        <v>550.25841842822</v>
      </c>
      <c r="I44" s="1"/>
      <c r="J44" s="1" t="n">
        <f aca="false">(  ( $C$11/($D$11*2) + ($C$11^2/($D$11^2*4) - ($B$11-LOG(F44))/$D$11 )^0.5 -$C$10/($D$10*2) )^2 -$C$10^2/($D$10^2*4) )*$D$10+$B$10</f>
        <v>2.41695265970575</v>
      </c>
      <c r="K44" s="1" t="n">
        <f aca="false">10^J44</f>
        <v>261.187663112332</v>
      </c>
      <c r="M44" s="21"/>
    </row>
    <row r="45" customFormat="false" ht="12.8" hidden="false" customHeight="false" outlineLevel="0" collapsed="false">
      <c r="D45" s="1" t="n">
        <v>300</v>
      </c>
      <c r="E45" s="0" t="n">
        <f aca="false">20*1.45</f>
        <v>29</v>
      </c>
      <c r="F45" s="1" t="n">
        <f aca="false">$F$4*((E45/10)^2*D45)^$G$4</f>
        <v>917.268227253338</v>
      </c>
      <c r="G45" s="1" t="n">
        <f aca="false">$F$5*D45^$G$5</f>
        <v>2246.52311421833</v>
      </c>
      <c r="H45" s="1" t="n">
        <f aca="false">$F$6*E45^$G$6</f>
        <v>550.25841842822</v>
      </c>
      <c r="I45" s="1"/>
      <c r="J45" s="1" t="n">
        <f aca="false">(  ( $C$11/($D$11*2) + ($C$11^2/($D$11^2*4) - ($B$11-LOG(F45))/$D$11 )^0.5 -$C$10/($D$10*2) )^2 -$C$10^2/($D$10^2*4) )*$D$10+$B$10</f>
        <v>2.41695265970575</v>
      </c>
      <c r="K45" s="1" t="n">
        <f aca="false">10^J45</f>
        <v>261.187663112332</v>
      </c>
      <c r="M45" s="21"/>
    </row>
    <row r="46" customFormat="false" ht="12.8" hidden="false" customHeight="false" outlineLevel="0" collapsed="false">
      <c r="D46" s="1" t="n">
        <v>310</v>
      </c>
      <c r="E46" s="0" t="n">
        <f aca="false">20*1.45</f>
        <v>29</v>
      </c>
      <c r="F46" s="1" t="n">
        <f aca="false">$F$4*((E46/10)^2*D46)^$G$4</f>
        <v>941.350026421756</v>
      </c>
      <c r="G46" s="1" t="n">
        <f aca="false">$F$5*D46^$G$5</f>
        <v>2395.72184238941</v>
      </c>
      <c r="H46" s="1" t="n">
        <f aca="false">$F$6*E46^$G$6</f>
        <v>550.25841842822</v>
      </c>
      <c r="I46" s="1"/>
      <c r="J46" s="1" t="n">
        <f aca="false">(  ( $C$11/($D$11*2) + ($C$11^2/($D$11^2*4) - ($B$11-LOG(F46))/$D$11 )^0.5 -$C$10/($D$10*2) )^2 -$C$10^2/($D$10^2*4) )*$D$10+$B$10</f>
        <v>2.42464544035069</v>
      </c>
      <c r="K46" s="1" t="n">
        <f aca="false">10^J46</f>
        <v>265.855372031291</v>
      </c>
      <c r="M46" s="21"/>
    </row>
    <row r="47" customFormat="false" ht="12.8" hidden="false" customHeight="false" outlineLevel="0" collapsed="false">
      <c r="D47" s="1" t="n">
        <v>330</v>
      </c>
      <c r="E47" s="0" t="n">
        <f aca="false">20*1.45</f>
        <v>29</v>
      </c>
      <c r="F47" s="1" t="n">
        <f aca="false">$F$4*((E47/10)^2*D47)^$G$4</f>
        <v>989.032687536666</v>
      </c>
      <c r="G47" s="1" t="n">
        <f aca="false">$F$5*D47^$G$5</f>
        <v>2708.20756535606</v>
      </c>
      <c r="H47" s="1" t="n">
        <f aca="false">$F$6*E47^$G$6</f>
        <v>550.25841842822</v>
      </c>
      <c r="I47" s="1"/>
      <c r="J47" s="1" t="n">
        <f aca="false">(  ( $C$11/($D$11*2) + ($C$11^2/($D$11^2*4) - ($B$11-LOG(F47))/$D$11 )^0.5 -$C$10/($D$10*2) )^2 -$C$10^2/($D$10^2*4) )*$D$10+$B$10</f>
        <v>2.43930490662435</v>
      </c>
      <c r="K47" s="1" t="n">
        <f aca="false">10^J47</f>
        <v>274.9824054012</v>
      </c>
      <c r="M47" s="21"/>
    </row>
    <row r="48" customFormat="false" ht="12.8" hidden="false" customHeight="false" outlineLevel="0" collapsed="false">
      <c r="D48" s="1" t="n">
        <v>360</v>
      </c>
      <c r="E48" s="0" t="n">
        <f aca="false">20*1.45</f>
        <v>29</v>
      </c>
      <c r="F48" s="1" t="n">
        <f aca="false">$F$4*((E48/10)^2*D48)^$G$4</f>
        <v>1059.44022062476</v>
      </c>
      <c r="G48" s="1" t="n">
        <f aca="false">$F$5*D48^$G$5</f>
        <v>3212.07231981191</v>
      </c>
      <c r="H48" s="1" t="n">
        <f aca="false">$F$6*E48^$G$6</f>
        <v>550.25841842822</v>
      </c>
      <c r="I48" s="1"/>
      <c r="J48" s="1" t="n">
        <f aca="false">(  ( $C$11/($D$11*2) + ($C$11^2/($D$11^2*4) - ($B$11-LOG(F48))/$D$11 )^0.5 -$C$10/($D$10*2) )^2 -$C$10^2/($D$10^2*4) )*$D$10+$B$10</f>
        <v>2.45968862258275</v>
      </c>
      <c r="K48" s="1" t="n">
        <f aca="false">10^J48</f>
        <v>288.196447150132</v>
      </c>
      <c r="M48" s="21"/>
    </row>
    <row r="49" customFormat="false" ht="12.8" hidden="false" customHeight="false" outlineLevel="0" collapsed="false">
      <c r="D49" s="1" t="n">
        <v>390</v>
      </c>
      <c r="E49" s="0" t="n">
        <f aca="false">20*1.45</f>
        <v>29</v>
      </c>
      <c r="F49" s="1" t="n">
        <f aca="false">$F$4*((E49/10)^2*D49)^$G$4</f>
        <v>1128.62675029595</v>
      </c>
      <c r="G49" s="1" t="n">
        <f aca="false">$F$5*D49^$G$5</f>
        <v>3757.97429572733</v>
      </c>
      <c r="H49" s="1" t="n">
        <f aca="false">$F$6*E49^$G$6</f>
        <v>550.25841842822</v>
      </c>
      <c r="I49" s="1"/>
      <c r="J49" s="1" t="n">
        <f aca="false">(  ( $C$11/($D$11*2) + ($C$11^2/($D$11^2*4) - ($B$11-LOG(F49))/$D$11 )^0.5 -$C$10/($D$10*2) )^2 -$C$10^2/($D$10^2*4) )*$D$10+$B$10</f>
        <v>2.47842099006697</v>
      </c>
      <c r="K49" s="1" t="n">
        <f aca="false">10^J49</f>
        <v>300.899170195902</v>
      </c>
      <c r="M49" s="21"/>
    </row>
    <row r="50" customFormat="false" ht="12.8" hidden="false" customHeight="false" outlineLevel="0" collapsed="false">
      <c r="D50" s="1" t="n">
        <v>420</v>
      </c>
      <c r="E50" s="0" t="n">
        <f aca="false">54*1.45</f>
        <v>78.3</v>
      </c>
      <c r="F50" s="1" t="n">
        <f aca="false">$F$4*((E50/10)^2*D50)^$G$4</f>
        <v>5752.21694261717</v>
      </c>
      <c r="G50" s="1" t="n">
        <f aca="false">$F$5*D50^$G$5</f>
        <v>4345.78232581147</v>
      </c>
      <c r="H50" s="1" t="n">
        <f aca="false">$F$6*E50^$G$6</f>
        <v>5980.01752976463</v>
      </c>
      <c r="I50" s="1"/>
      <c r="J50" s="1" t="n">
        <f aca="false">(  ( $C$11/($D$11*2) + ($C$11^2/($D$11^2*4) - ($B$11-LOG(F50))/$D$11 )^0.5 -$C$10/($D$10*2) )^2 -$C$10^2/($D$10^2*4) )*$D$10+$B$10</f>
        <v>2.95431238999016</v>
      </c>
      <c r="K50" s="1" t="n">
        <f aca="false">10^J50</f>
        <v>900.144826974628</v>
      </c>
      <c r="M50" s="21"/>
    </row>
    <row r="51" customFormat="false" ht="12.8" hidden="false" customHeight="false" outlineLevel="0" collapsed="false">
      <c r="D51" s="1" t="n">
        <v>440</v>
      </c>
      <c r="E51" s="0" t="n">
        <f aca="false">54*1.45</f>
        <v>78.3</v>
      </c>
      <c r="F51" s="1" t="n">
        <f aca="false">$F$4*((E51/10)^2*D51)^$G$4</f>
        <v>5967.64253941262</v>
      </c>
      <c r="G51" s="1" t="n">
        <f aca="false">$F$5*D51^$G$5</f>
        <v>4760.87533450444</v>
      </c>
      <c r="H51" s="1" t="n">
        <f aca="false">$F$6*E51^$G$6</f>
        <v>5980.01752976463</v>
      </c>
      <c r="I51" s="1"/>
      <c r="J51" s="1" t="n">
        <f aca="false">(  ( $C$11/($D$11*2) + ($C$11^2/($D$11^2*4) - ($B$11-LOG(F51))/$D$11 )^0.5 -$C$10/($D$10*2) )^2 -$C$10^2/($D$10^2*4) )*$D$10+$B$10</f>
        <v>2.96491171864909</v>
      </c>
      <c r="K51" s="1" t="n">
        <f aca="false">10^J51</f>
        <v>922.38391020973</v>
      </c>
      <c r="M51" s="21"/>
    </row>
    <row r="52" customFormat="false" ht="12.8" hidden="false" customHeight="false" outlineLevel="0" collapsed="false">
      <c r="G52" s="21"/>
      <c r="I52" s="21"/>
      <c r="J52" s="21"/>
      <c r="K52" s="21" t="n">
        <f aca="false">SUM(K29:K51)</f>
        <v>6478.23134467788</v>
      </c>
      <c r="M52" s="21"/>
    </row>
    <row r="53" customFormat="false" ht="12.8" hidden="false" customHeight="false" outlineLevel="0" collapsed="false">
      <c r="G53" s="21"/>
      <c r="I53" s="21"/>
      <c r="J53" s="21"/>
      <c r="K53" s="21"/>
      <c r="M53" s="21"/>
    </row>
    <row r="54" customFormat="false" ht="12.8" hidden="false" customHeight="false" outlineLevel="0" collapsed="false">
      <c r="G54" s="21"/>
      <c r="I54" s="21"/>
      <c r="J54" s="21" t="s">
        <v>78</v>
      </c>
      <c r="K54" s="21"/>
      <c r="M54" s="21"/>
    </row>
    <row r="55" customFormat="false" ht="12.8" hidden="false" customHeight="false" outlineLevel="0" collapsed="false">
      <c r="A55" s="0" t="n">
        <v>10019</v>
      </c>
      <c r="D55" s="1" t="n">
        <v>370</v>
      </c>
      <c r="E55" s="0" t="n">
        <f aca="false">20*1.45</f>
        <v>29</v>
      </c>
      <c r="F55" s="1" t="n">
        <f aca="false">$J$4*((E55/10)^2*D55)^$K$4</f>
        <v>704.652679593851</v>
      </c>
      <c r="G55" s="1" t="n">
        <f aca="false">$J$5*D55^$K$5</f>
        <v>1203.3581034014</v>
      </c>
      <c r="H55" s="1" t="n">
        <f aca="false">$J$6*E55^$K$6</f>
        <v>543.746659880839</v>
      </c>
      <c r="I55" s="1"/>
      <c r="J55" s="1" t="n">
        <f aca="false">(  ( - $G$11/($H$11*2) + ($G$11^2/($H$11^2*4) - ($F$11-LOG(F55))/$H$11 )^0.5 +$G$10/($H$10*2) )^2 -$G$10^2/($H$10^2*4) )*$H$10+$F$10</f>
        <v>2.25525395906145</v>
      </c>
      <c r="K55" s="1" t="n">
        <f aca="false">10^J55</f>
        <v>179.992313473012</v>
      </c>
      <c r="M55" s="21"/>
    </row>
    <row r="56" customFormat="false" ht="12.8" hidden="false" customHeight="false" outlineLevel="0" collapsed="false">
      <c r="D56" s="1" t="n">
        <v>590</v>
      </c>
      <c r="E56" s="0" t="n">
        <f aca="false">20*1.45</f>
        <v>29</v>
      </c>
      <c r="F56" s="1" t="n">
        <f aca="false">$J$4*((E56/10)^2*D56)^$K$4</f>
        <v>1059.52131389249</v>
      </c>
      <c r="G56" s="1" t="n">
        <f aca="false">$J$5*D56^$K$5</f>
        <v>3547.30986042293</v>
      </c>
      <c r="H56" s="1" t="n">
        <f aca="false">$J$6*E56^$K$6</f>
        <v>543.746659880839</v>
      </c>
      <c r="I56" s="1"/>
      <c r="J56" s="1" t="n">
        <f aca="false">(  ( - $G$11/($H$11*2) + ($G$11^2/($H$11^2*4) - ($F$11-LOG(F56))/$H$11 )^0.5 +$G$10/($H$10*2) )^2 -$G$10^2/($H$10^2*4) )*$H$10+$F$10</f>
        <v>2.36920057562983</v>
      </c>
      <c r="K56" s="1" t="n">
        <f aca="false">10^J56</f>
        <v>233.991766246572</v>
      </c>
      <c r="M56" s="21"/>
    </row>
    <row r="57" customFormat="false" ht="12.8" hidden="false" customHeight="false" outlineLevel="0" collapsed="false">
      <c r="D57" s="1" t="n">
        <v>870</v>
      </c>
      <c r="E57" s="0" t="n">
        <f aca="false">54*1.45</f>
        <v>78.3</v>
      </c>
      <c r="F57" s="1" t="n">
        <f aca="false">$J$4*((E57/10)^2*D57)^$K$4</f>
        <v>8445.81475236063</v>
      </c>
      <c r="G57" s="1" t="n">
        <f aca="false">$J$5*D57^$K$5</f>
        <v>8723.09823589783</v>
      </c>
      <c r="H57" s="1" t="n">
        <f aca="false">$J$6*E57^$K$6</f>
        <v>6630.87071471161</v>
      </c>
      <c r="I57" s="1"/>
      <c r="J57" s="1" t="n">
        <f aca="false">(  ( - $G$11/($H$11*2) + ($G$11^2/($H$11^2*4) - ($F$11-LOG(F57))/$H$11 )^0.5 +$G$10/($H$10*2) )^2 -$G$10^2/($H$10^2*4) )*$H$10+$F$10</f>
        <v>2.92348415739914</v>
      </c>
      <c r="K57" s="1" t="n">
        <f aca="false">10^J57</f>
        <v>838.463491807384</v>
      </c>
      <c r="M57" s="21"/>
    </row>
    <row r="58" customFormat="false" ht="12.8" hidden="false" customHeight="false" outlineLevel="0" collapsed="false">
      <c r="D58" s="1" t="n">
        <v>1040</v>
      </c>
      <c r="E58" s="0" t="n">
        <f aca="false">64*1.45</f>
        <v>92.8</v>
      </c>
      <c r="F58" s="1" t="n">
        <f aca="false">$J$4*((E58/10)^2*D58)^$K$4</f>
        <v>13285.7912199721</v>
      </c>
      <c r="G58" s="1" t="n">
        <f aca="false">$J$5*D58^$K$5</f>
        <v>13190.3691386062</v>
      </c>
      <c r="H58" s="1" t="n">
        <f aca="false">$J$6*E58^$K$6</f>
        <v>10171.0138946253</v>
      </c>
      <c r="I58" s="1"/>
      <c r="J58" s="1" t="n">
        <f aca="false">(  ( - $G$11/($H$11*2) + ($G$11^2/($H$11^2*4) - ($F$11-LOG(F58))/$H$11 )^0.5 +$G$10/($H$10*2) )^2 -$G$10^2/($H$10^2*4) )*$H$10+$F$10</f>
        <v>3.03893102565651</v>
      </c>
      <c r="K58" s="1" t="n">
        <f aca="false">10^J58</f>
        <v>1093.78263868911</v>
      </c>
      <c r="M58" s="21"/>
    </row>
    <row r="59" customFormat="false" ht="12.8" hidden="false" customHeight="false" outlineLevel="0" collapsed="false">
      <c r="K59" s="0" t="n">
        <f aca="false">SUM(K55:K58)</f>
        <v>2346.23021021608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9:AC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5" activeCellId="0" sqref="J15"/>
    </sheetView>
  </sheetViews>
  <sheetFormatPr defaultColWidth="11.7421875" defaultRowHeight="12.8" zeroHeight="false" outlineLevelRow="0" outlineLevelCol="0"/>
  <cols>
    <col collapsed="false" customWidth="true" hidden="false" outlineLevel="0" max="6" min="6" style="0" width="15.56"/>
  </cols>
  <sheetData>
    <row r="9" customFormat="false" ht="12.8" hidden="false" customHeight="false" outlineLevel="0" collapsed="false">
      <c r="N9" s="0" t="s">
        <v>79</v>
      </c>
      <c r="R9" s="0" t="s">
        <v>79</v>
      </c>
    </row>
    <row r="10" customFormat="false" ht="12.8" hidden="false" customHeight="false" outlineLevel="0" collapsed="false">
      <c r="N10" s="0" t="s">
        <v>80</v>
      </c>
      <c r="R10" s="0" t="s">
        <v>81</v>
      </c>
    </row>
    <row r="11" customFormat="false" ht="18.55" hidden="false" customHeight="false" outlineLevel="0" collapsed="false">
      <c r="A11" s="1"/>
      <c r="B11" s="19" t="s">
        <v>49</v>
      </c>
      <c r="D11" s="2" t="s">
        <v>40</v>
      </c>
      <c r="E11" s="17" t="s">
        <v>42</v>
      </c>
      <c r="F11" s="1" t="s">
        <v>44</v>
      </c>
      <c r="H11" s="0" t="s">
        <v>82</v>
      </c>
      <c r="I11" s="0" t="s">
        <v>83</v>
      </c>
      <c r="J11" s="0" t="s">
        <v>84</v>
      </c>
      <c r="L11" s="0" t="s">
        <v>85</v>
      </c>
      <c r="N11" s="0" t="s">
        <v>86</v>
      </c>
      <c r="O11" s="0" t="s">
        <v>87</v>
      </c>
      <c r="P11" s="0" t="s">
        <v>88</v>
      </c>
      <c r="R11" s="0" t="s">
        <v>86</v>
      </c>
      <c r="S11" s="0" t="s">
        <v>87</v>
      </c>
      <c r="T11" s="0" t="s">
        <v>88</v>
      </c>
      <c r="V11" s="0" t="s">
        <v>86</v>
      </c>
      <c r="W11" s="0" t="s">
        <v>87</v>
      </c>
      <c r="X11" s="0" t="s">
        <v>89</v>
      </c>
      <c r="AA11" s="0" t="s">
        <v>90</v>
      </c>
      <c r="AC11" s="0" t="s">
        <v>91</v>
      </c>
    </row>
    <row r="12" customFormat="false" ht="12.8" hidden="false" customHeight="false" outlineLevel="0" collapsed="false">
      <c r="B12" s="1"/>
      <c r="D12" s="1"/>
      <c r="E12" s="18"/>
      <c r="F12" s="3"/>
    </row>
    <row r="13" customFormat="false" ht="12.8" hidden="false" customHeight="false" outlineLevel="0" collapsed="false">
      <c r="D13" s="1"/>
      <c r="E13" s="18"/>
      <c r="F13" s="1"/>
    </row>
    <row r="14" customFormat="false" ht="12.8" hidden="false" customHeight="false" outlineLevel="0" collapsed="false">
      <c r="A14" s="1" t="n">
        <v>10035</v>
      </c>
      <c r="D14" s="2" t="n">
        <f aca="false">E14/0.14</f>
        <v>0.412212142857143</v>
      </c>
      <c r="E14" s="0" t="n">
        <v>0.0577097</v>
      </c>
      <c r="F14" s="0" t="n">
        <v>0.00588917</v>
      </c>
      <c r="G14" s="0" t="n">
        <f aca="false">E14+F14</f>
        <v>0.06359887</v>
      </c>
      <c r="H14" s="0" t="n">
        <v>1989</v>
      </c>
      <c r="I14" s="0" t="n">
        <v>0.06359883</v>
      </c>
      <c r="L14" s="0" t="n">
        <v>40</v>
      </c>
      <c r="N14" s="0" t="n">
        <v>304</v>
      </c>
      <c r="O14" s="0" t="n">
        <v>23</v>
      </c>
      <c r="P14" s="0" t="n">
        <v>16.6</v>
      </c>
      <c r="R14" s="0" t="n">
        <v>194</v>
      </c>
      <c r="S14" s="0" t="n">
        <v>14</v>
      </c>
      <c r="T14" s="0" t="n">
        <v>12.8</v>
      </c>
      <c r="V14" s="0" t="n">
        <f aca="false">($X$14-$T$14)/($P$14-$T$14)*(N14-R14)+R14</f>
        <v>324.263157894737</v>
      </c>
      <c r="W14" s="0" t="n">
        <f aca="false">($X$14-$T$14)/($P$14-$T$14)*(O14-S14)+S14</f>
        <v>24.6578947368421</v>
      </c>
      <c r="X14" s="0" t="n">
        <v>17.3</v>
      </c>
      <c r="AA14" s="49" t="n">
        <f aca="false">W14/5/V14</f>
        <v>0.0152085700373316</v>
      </c>
      <c r="AC14" s="49" t="n">
        <f aca="false">F14/D14</f>
        <v>0.0142867455557731</v>
      </c>
    </row>
    <row r="15" customFormat="false" ht="12.8" hidden="false" customHeight="false" outlineLevel="0" collapsed="false">
      <c r="F15" s="0" t="n">
        <f aca="false">F14*J15</f>
        <v>0.0176246380967932</v>
      </c>
      <c r="G15" s="50" t="n">
        <f aca="false">E14+F15</f>
        <v>0.0753343380967932</v>
      </c>
      <c r="H15" s="0" t="n">
        <v>1990</v>
      </c>
      <c r="I15" s="49" t="n">
        <v>0.0753343</v>
      </c>
      <c r="J15" s="0" t="n">
        <v>2.992720213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2022-09-21T12:16:07Z</dcterms:created>
  <dc:creator>Marc Scherstjanoi</dc:creator>
  <dc:description/>
  <dc:language>de-DE</dc:language>
  <cp:lastModifiedBy>Marc Scherstjanoi</cp:lastModifiedBy>
  <dcterms:modified xsi:type="dcterms:W3CDTF">2023-02-13T13:23:58Z</dcterms:modified>
  <cp:revision>95</cp:revision>
  <dc:subject/>
  <dc:title/>
</cp:coreProperties>
</file>