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Y4S1/ESP4902/technoeconomic/"/>
    </mc:Choice>
  </mc:AlternateContent>
  <xr:revisionPtr revIDLastSave="5" documentId="8_{B300A360-B478-4C29-BEA8-3B42F6D8DC9A}" xr6:coauthVersionLast="47" xr6:coauthVersionMax="47" xr10:uidLastSave="{20A44992-2F6D-49C5-8D68-2C9C82EEC046}"/>
  <bookViews>
    <workbookView xWindow="-108" yWindow="-108" windowWidth="23256" windowHeight="13896" tabRatio="500" xr2:uid="{00000000-000D-0000-FFFF-FFFF00000000}"/>
  </bookViews>
  <sheets>
    <sheet name="LCOS" sheetId="1" r:id="rId1"/>
    <sheet name="Tariffs and Assumptions" sheetId="2" r:id="rId2"/>
    <sheet name="Capex Opex Pr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2" l="1"/>
  <c r="F38" i="2" l="1"/>
  <c r="F9" i="2" l="1"/>
  <c r="G9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F8" i="2"/>
  <c r="F11" i="2" s="1"/>
  <c r="G11" i="2" l="1"/>
  <c r="H9" i="2"/>
  <c r="H11" i="2" s="1"/>
  <c r="F11" i="1"/>
  <c r="B3" i="1"/>
  <c r="B6" i="1" s="1"/>
  <c r="B7" i="1" s="1"/>
  <c r="B18" i="1" s="1"/>
  <c r="B3" i="3"/>
  <c r="B11" i="3"/>
  <c r="F26" i="3"/>
  <c r="B26" i="3" s="1"/>
  <c r="D12" i="1"/>
  <c r="F12" i="1" s="1"/>
  <c r="F13" i="1" s="1"/>
  <c r="B8" i="1"/>
  <c r="B22" i="1" s="1"/>
  <c r="F13" i="3"/>
  <c r="B9" i="3"/>
  <c r="B16" i="3"/>
  <c r="F4" i="3"/>
  <c r="F5" i="3"/>
  <c r="B24" i="3"/>
  <c r="B21" i="3" s="1"/>
  <c r="B2" i="3"/>
  <c r="B6" i="3" s="1"/>
  <c r="B19" i="1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B12" i="3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G30" i="2"/>
  <c r="G4" i="2"/>
  <c r="H4" i="2"/>
  <c r="I4" i="2" s="1"/>
  <c r="J4" i="2" s="1"/>
  <c r="K4" i="2" s="1"/>
  <c r="L4" i="2"/>
  <c r="M4" i="2" s="1"/>
  <c r="N4" i="2" s="1"/>
  <c r="O4" i="2" s="1"/>
  <c r="P4" i="2"/>
  <c r="Q4" i="2" s="1"/>
  <c r="R4" i="2" s="1"/>
  <c r="S4" i="2" s="1"/>
  <c r="T4" i="2" s="1"/>
  <c r="U4" i="2" s="1"/>
  <c r="V4" i="2" s="1"/>
  <c r="W4" i="2" s="1"/>
  <c r="X4" i="2" s="1"/>
  <c r="Y4" i="2" s="1"/>
  <c r="Y21" i="2"/>
  <c r="Y20" i="2"/>
  <c r="Y19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L38" i="2" l="1"/>
  <c r="T38" i="2"/>
  <c r="J38" i="2"/>
  <c r="S38" i="2"/>
  <c r="M38" i="2"/>
  <c r="U38" i="2"/>
  <c r="Q38" i="2"/>
  <c r="R38" i="2"/>
  <c r="N38" i="2"/>
  <c r="V38" i="2"/>
  <c r="Y38" i="2"/>
  <c r="G38" i="2"/>
  <c r="O38" i="2"/>
  <c r="W38" i="2"/>
  <c r="P38" i="2"/>
  <c r="X38" i="2"/>
  <c r="I38" i="2"/>
  <c r="K38" i="2"/>
  <c r="B9" i="1"/>
  <c r="B17" i="1"/>
  <c r="B21" i="1" s="1"/>
  <c r="B23" i="1" s="1"/>
  <c r="B30" i="1"/>
  <c r="F14" i="1"/>
  <c r="B15" i="3"/>
  <c r="B25" i="3" s="1"/>
  <c r="B32" i="3"/>
  <c r="B27" i="3"/>
  <c r="B28" i="3" s="1"/>
  <c r="B30" i="3" s="1"/>
  <c r="F10" i="3" s="1"/>
  <c r="F11" i="3" s="1"/>
  <c r="B5" i="1"/>
  <c r="H30" i="2"/>
  <c r="I9" i="2"/>
  <c r="I11" i="2" s="1"/>
  <c r="G36" i="2" l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F37" i="2"/>
  <c r="H36" i="2"/>
  <c r="G37" i="2"/>
  <c r="F36" i="2"/>
  <c r="H37" i="2"/>
  <c r="I30" i="2"/>
  <c r="J9" i="2"/>
  <c r="J11" i="2" s="1"/>
  <c r="I36" i="2"/>
  <c r="B24" i="1" l="1"/>
  <c r="J30" i="2"/>
  <c r="I37" i="2"/>
  <c r="J36" i="2"/>
  <c r="K9" i="2"/>
  <c r="K11" i="2" s="1"/>
  <c r="J37" i="2" l="1"/>
  <c r="K30" i="2"/>
  <c r="L9" i="2"/>
  <c r="L11" i="2" s="1"/>
  <c r="K36" i="2"/>
  <c r="K37" i="2" l="1"/>
  <c r="L30" i="2"/>
  <c r="M9" i="2"/>
  <c r="M11" i="2" s="1"/>
  <c r="L36" i="2"/>
  <c r="L37" i="2" l="1"/>
  <c r="M30" i="2"/>
  <c r="N9" i="2"/>
  <c r="N11" i="2" s="1"/>
  <c r="M36" i="2"/>
  <c r="N30" i="2" l="1"/>
  <c r="M37" i="2"/>
  <c r="O9" i="2"/>
  <c r="O11" i="2" s="1"/>
  <c r="N36" i="2"/>
  <c r="N37" i="2" l="1"/>
  <c r="O30" i="2"/>
  <c r="P9" i="2"/>
  <c r="P11" i="2" s="1"/>
  <c r="O36" i="2"/>
  <c r="O37" i="2" l="1"/>
  <c r="P30" i="2"/>
  <c r="Q9" i="2"/>
  <c r="Q11" i="2" s="1"/>
  <c r="P36" i="2"/>
  <c r="P37" i="2" l="1"/>
  <c r="Q30" i="2"/>
  <c r="R9" i="2"/>
  <c r="R11" i="2" s="1"/>
  <c r="Q36" i="2"/>
  <c r="R30" i="2" l="1"/>
  <c r="Q37" i="2"/>
  <c r="S9" i="2"/>
  <c r="S11" i="2" s="1"/>
  <c r="R36" i="2"/>
  <c r="R37" i="2" l="1"/>
  <c r="S30" i="2"/>
  <c r="T9" i="2"/>
  <c r="T11" i="2" s="1"/>
  <c r="S36" i="2"/>
  <c r="S37" i="2" l="1"/>
  <c r="T30" i="2"/>
  <c r="U9" i="2"/>
  <c r="U11" i="2" s="1"/>
  <c r="T36" i="2"/>
  <c r="T37" i="2" l="1"/>
  <c r="U30" i="2"/>
  <c r="V9" i="2"/>
  <c r="V11" i="2" s="1"/>
  <c r="U36" i="2"/>
  <c r="V30" i="2" l="1"/>
  <c r="U37" i="2"/>
  <c r="W9" i="2"/>
  <c r="W11" i="2" s="1"/>
  <c r="V36" i="2"/>
  <c r="V37" i="2" l="1"/>
  <c r="W30" i="2"/>
  <c r="X9" i="2"/>
  <c r="X11" i="2" s="1"/>
  <c r="W36" i="2"/>
  <c r="W37" i="2" l="1"/>
  <c r="X30" i="2"/>
  <c r="Y9" i="2"/>
  <c r="X36" i="2"/>
  <c r="Y11" i="2" l="1"/>
  <c r="Y36" i="2" s="1"/>
  <c r="B31" i="1" s="1"/>
  <c r="X37" i="2"/>
  <c r="Y30" i="2"/>
  <c r="Y37" i="2" s="1"/>
  <c r="B32" i="1" s="1"/>
  <c r="B33" i="1" l="1"/>
  <c r="B35" i="1" s="1"/>
  <c r="F15" i="1" l="1"/>
  <c r="F16" i="1" s="1"/>
</calcChain>
</file>

<file path=xl/sharedStrings.xml><?xml version="1.0" encoding="utf-8"?>
<sst xmlns="http://schemas.openxmlformats.org/spreadsheetml/2006/main" count="164" uniqueCount="128">
  <si>
    <t>USD/SG FX</t>
  </si>
  <si>
    <t>Duration (Hours)</t>
  </si>
  <si>
    <t>Energy Capacity (MWh)</t>
  </si>
  <si>
    <t>Depth of Discharge (DoD)</t>
  </si>
  <si>
    <t>System Availability (%)</t>
  </si>
  <si>
    <t>Project Life</t>
  </si>
  <si>
    <t>Memo: Annual Used Energy (MWh)</t>
  </si>
  <si>
    <t>Memo: Lifetime Used Energy (MWh)</t>
  </si>
  <si>
    <t>Total Initial Capex Cost (US$/kWh)</t>
  </si>
  <si>
    <t>Efficiency</t>
  </si>
  <si>
    <t>Total Initial Capex Cost (S$)</t>
  </si>
  <si>
    <t>Total Lifetime Charging Cost (S$)</t>
  </si>
  <si>
    <t>Total Lifetime O&amp;M Cost (S$)</t>
  </si>
  <si>
    <t>Total Lifetime Cost</t>
  </si>
  <si>
    <t>LCOS (S$/kWh)</t>
  </si>
  <si>
    <t>Tariffs and Assumptions</t>
  </si>
  <si>
    <t>Year</t>
  </si>
  <si>
    <t>Inflation</t>
  </si>
  <si>
    <t>O&amp;M Inflation</t>
  </si>
  <si>
    <t>%</t>
  </si>
  <si>
    <t>Battery Degradation</t>
  </si>
  <si>
    <t>Annual Used Energy</t>
  </si>
  <si>
    <t>Tariffs</t>
  </si>
  <si>
    <t>USD$/KWh</t>
  </si>
  <si>
    <t>T-G</t>
  </si>
  <si>
    <t>DNV Base Case</t>
  </si>
  <si>
    <t>S$/KWh</t>
  </si>
  <si>
    <t>SP LT</t>
  </si>
  <si>
    <t>GoEco Tariff</t>
  </si>
  <si>
    <t>Roof Lease Fee adjustment with SPLT</t>
  </si>
  <si>
    <t>Grid Charges</t>
  </si>
  <si>
    <t>USEP CFD with Energy</t>
  </si>
  <si>
    <t xml:space="preserve">VPPA </t>
  </si>
  <si>
    <t>Sale of RECs</t>
  </si>
  <si>
    <t>Ramp-up uptake of CFD</t>
  </si>
  <si>
    <t>Margin per KWh of Conventional Sold</t>
  </si>
  <si>
    <t>Inverter Replacement Cost</t>
  </si>
  <si>
    <t>Inverter Replacement %</t>
  </si>
  <si>
    <t>GoEco Selling Costs</t>
  </si>
  <si>
    <t>Total Annual Charging Cost</t>
  </si>
  <si>
    <t>$</t>
  </si>
  <si>
    <t>Total Annual O&amp;M Cost</t>
  </si>
  <si>
    <t>Estimated nbr of EV cars per day</t>
  </si>
  <si>
    <t>180 kW Charger</t>
  </si>
  <si>
    <t>Time to charge (mins) from 0 to 100%</t>
  </si>
  <si>
    <t>ESS Size (kWh)</t>
  </si>
  <si>
    <t>Factor</t>
  </si>
  <si>
    <t>If ESS resized  to ? (kWh)</t>
  </si>
  <si>
    <t>ESS C-rate charge/ discharge</t>
  </si>
  <si>
    <t>Nbr of Cycles</t>
  </si>
  <si>
    <t>Nos. of Cycles Per Day</t>
  </si>
  <si>
    <t>kWp</t>
  </si>
  <si>
    <t>Renewable Energy Generated</t>
  </si>
  <si>
    <t>MWh</t>
  </si>
  <si>
    <t>Grid Charge (RM0.51), USD to RM is 4.2</t>
  </si>
  <si>
    <t>O&amp;M Fees (PV+ESS)</t>
  </si>
  <si>
    <t>ESS</t>
  </si>
  <si>
    <t>Power Output (MW)</t>
  </si>
  <si>
    <t>kwh</t>
  </si>
  <si>
    <t>EOL Capacity</t>
  </si>
  <si>
    <t>life cycle</t>
  </si>
  <si>
    <t>DOD</t>
  </si>
  <si>
    <t>$/kwh</t>
  </si>
  <si>
    <t>Charger Capex/kwh</t>
  </si>
  <si>
    <t>Charger Life Cycle Energy/kwh capacity</t>
  </si>
  <si>
    <t>ESS Capex/kwh</t>
  </si>
  <si>
    <t>Electricity Tariff</t>
  </si>
  <si>
    <t>Hardware (5% of capex per year)</t>
  </si>
  <si>
    <t>Software subscription per annual</t>
  </si>
  <si>
    <t>Opex per CS per year</t>
  </si>
  <si>
    <t>Manpower cost per annual</t>
  </si>
  <si>
    <t>Total Energy Delivery per annual</t>
  </si>
  <si>
    <t>days of operation per annual</t>
  </si>
  <si>
    <t>days</t>
  </si>
  <si>
    <t>Opex per kwh energy delivery</t>
  </si>
  <si>
    <t>Total cost / kwh energy delivery</t>
  </si>
  <si>
    <t>Target GP%</t>
  </si>
  <si>
    <t>Target Price/kwh of energy delivery</t>
  </si>
  <si>
    <t>ICE Car</t>
  </si>
  <si>
    <t>$/L</t>
  </si>
  <si>
    <t>$/km</t>
  </si>
  <si>
    <t>Electric Car</t>
  </si>
  <si>
    <t>cost of fuel</t>
  </si>
  <si>
    <t>cost/km</t>
  </si>
  <si>
    <t>Cost/km</t>
  </si>
  <si>
    <t>kwh/km</t>
  </si>
  <si>
    <t>km/L</t>
  </si>
  <si>
    <t>RM/L</t>
  </si>
  <si>
    <t>97 Petrol MY</t>
  </si>
  <si>
    <t>Electricity Tariff (RM0.51, / 4.2 exchange)</t>
  </si>
  <si>
    <t>number of cars per day</t>
  </si>
  <si>
    <t>kwh per car</t>
  </si>
  <si>
    <t>180KWH ESS Life Time</t>
  </si>
  <si>
    <t>Years</t>
  </si>
  <si>
    <t>Cost / kwh charged</t>
  </si>
  <si>
    <t>Cost based on tariff</t>
  </si>
  <si>
    <t>Total renewable energy generated per annual</t>
  </si>
  <si>
    <t>Saving from renewable energy/KWH delivered</t>
  </si>
  <si>
    <t>Remaining asset value (charger, solar system) is considered zero at battery EOL.</t>
  </si>
  <si>
    <t>Note:</t>
  </si>
  <si>
    <t xml:space="preserve">If battery life cycle doubles, the cost/kwh of energy delivery can be reduced significantly. </t>
  </si>
  <si>
    <t>Car Battery Capacity (kWh)</t>
  </si>
  <si>
    <t>Total Battery Lifecycle=</t>
  </si>
  <si>
    <t>EV Car</t>
  </si>
  <si>
    <t>$/kWh</t>
  </si>
  <si>
    <t>USD$</t>
  </si>
  <si>
    <t>kWh Battery Charging</t>
  </si>
  <si>
    <t>Cars per day for 1 year</t>
  </si>
  <si>
    <t>Revenue for Project Life</t>
  </si>
  <si>
    <t>Lifetime Cost</t>
  </si>
  <si>
    <t>GP</t>
  </si>
  <si>
    <t>Customer Pays</t>
  </si>
  <si>
    <t>Charging Battery %</t>
  </si>
  <si>
    <t>USD to RM</t>
  </si>
  <si>
    <t>Cost per KWH energy delivery</t>
  </si>
  <si>
    <t>Cost per kwh energy delivery</t>
  </si>
  <si>
    <t>Actual Battery Life Cycle</t>
  </si>
  <si>
    <t>Nameplate life cycle</t>
  </si>
  <si>
    <t>Solar Power (kWp)</t>
  </si>
  <si>
    <t>Nbr of Sun-hrs</t>
  </si>
  <si>
    <t>Life Cycle</t>
  </si>
  <si>
    <t>RM</t>
  </si>
  <si>
    <t xml:space="preserve">Annual Solar Irradiance </t>
  </si>
  <si>
    <t>Solar System Performance Ratio</t>
  </si>
  <si>
    <t>kWh/m2</t>
  </si>
  <si>
    <t xml:space="preserve">Solar Installed Capacity </t>
  </si>
  <si>
    <t>Assumption on EoL</t>
  </si>
  <si>
    <t>70%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</si>
</sst>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9"/>
      <color rgb="FF0000FF"/>
      <name val="Arial"/>
      <family val="2"/>
    </font>
    <font>
      <sz val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9" fontId="0" fillId="0" borderId="0" xfId="2" applyFont="1"/>
    <xf numFmtId="165" fontId="0" fillId="0" borderId="0" xfId="1" applyFont="1"/>
    <xf numFmtId="166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4" fillId="2" borderId="0" xfId="3" applyFont="1" applyFill="1"/>
    <xf numFmtId="0" fontId="6" fillId="2" borderId="0" xfId="3" applyFont="1" applyFill="1"/>
    <xf numFmtId="10" fontId="7" fillId="2" borderId="0" xfId="5" applyNumberFormat="1" applyFont="1" applyFill="1"/>
    <xf numFmtId="0" fontId="8" fillId="2" borderId="0" xfId="3" applyFont="1" applyFill="1" applyAlignment="1">
      <alignment horizontal="left"/>
    </xf>
    <xf numFmtId="167" fontId="7" fillId="2" borderId="0" xfId="3" applyNumberFormat="1" applyFont="1" applyFill="1"/>
    <xf numFmtId="167" fontId="9" fillId="2" borderId="0" xfId="3" applyNumberFormat="1" applyFont="1" applyFill="1"/>
    <xf numFmtId="0" fontId="10" fillId="2" borderId="0" xfId="3" applyFont="1" applyFill="1" applyAlignment="1">
      <alignment horizontal="left"/>
    </xf>
    <xf numFmtId="167" fontId="4" fillId="2" borderId="0" xfId="3" applyNumberFormat="1" applyFont="1" applyFill="1"/>
    <xf numFmtId="9" fontId="7" fillId="2" borderId="0" xfId="5" applyFont="1" applyFill="1"/>
    <xf numFmtId="0" fontId="7" fillId="2" borderId="0" xfId="3" applyFont="1" applyFill="1"/>
    <xf numFmtId="2" fontId="7" fillId="2" borderId="0" xfId="3" applyNumberFormat="1" applyFont="1" applyFill="1"/>
    <xf numFmtId="0" fontId="5" fillId="2" borderId="0" xfId="3" applyFont="1" applyFill="1"/>
    <xf numFmtId="164" fontId="0" fillId="2" borderId="0" xfId="6" applyFont="1" applyFill="1"/>
    <xf numFmtId="9" fontId="0" fillId="0" borderId="0" xfId="0" applyNumberFormat="1"/>
    <xf numFmtId="165" fontId="4" fillId="2" borderId="0" xfId="1" applyFont="1" applyFill="1"/>
    <xf numFmtId="165" fontId="0" fillId="0" borderId="0" xfId="0" applyNumberFormat="1"/>
    <xf numFmtId="165" fontId="2" fillId="0" borderId="1" xfId="0" applyNumberFormat="1" applyFont="1" applyBorder="1"/>
    <xf numFmtId="2" fontId="7" fillId="2" borderId="0" xfId="5" applyNumberFormat="1" applyFont="1" applyFill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0" fontId="0" fillId="3" borderId="0" xfId="0" applyFont="1" applyFill="1"/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0" fontId="0" fillId="8" borderId="0" xfId="0" applyFill="1" applyAlignment="1">
      <alignment wrapText="1"/>
    </xf>
    <xf numFmtId="0" fontId="0" fillId="8" borderId="0" xfId="0" applyFill="1"/>
    <xf numFmtId="0" fontId="0" fillId="0" borderId="0" xfId="0" applyAlignment="1">
      <alignment horizontal="right" wrapText="1"/>
    </xf>
    <xf numFmtId="0" fontId="0" fillId="4" borderId="0" xfId="0" applyFill="1" applyAlignment="1">
      <alignment horizontal="right" wrapText="1"/>
    </xf>
    <xf numFmtId="167" fontId="0" fillId="4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43" fontId="2" fillId="0" borderId="2" xfId="0" applyNumberFormat="1" applyFont="1" applyBorder="1"/>
    <xf numFmtId="0" fontId="13" fillId="0" borderId="0" xfId="0" applyFont="1"/>
    <xf numFmtId="9" fontId="13" fillId="3" borderId="0" xfId="0" applyNumberFormat="1" applyFont="1" applyFill="1" applyAlignment="1">
      <alignment horizontal="center"/>
    </xf>
    <xf numFmtId="9" fontId="13" fillId="0" borderId="0" xfId="0" applyNumberFormat="1" applyFont="1"/>
    <xf numFmtId="0" fontId="0" fillId="3" borderId="0" xfId="0" applyFill="1" applyAlignment="1">
      <alignment horizontal="center"/>
    </xf>
    <xf numFmtId="0" fontId="0" fillId="0" borderId="0" xfId="0" applyFont="1" applyFill="1"/>
    <xf numFmtId="4" fontId="0" fillId="0" borderId="0" xfId="0" applyNumberFormat="1"/>
    <xf numFmtId="0" fontId="0" fillId="7" borderId="0" xfId="0" applyFill="1" applyAlignment="1">
      <alignment horizontal="center"/>
    </xf>
  </cellXfs>
  <cellStyles count="11">
    <cellStyle name="Comma" xfId="1" builtinId="3"/>
    <cellStyle name="Comma 2" xfId="4" xr:uid="{00000000-0005-0000-0000-000001000000}"/>
    <cellStyle name="Currency 2" xfId="6" xr:uid="{00000000-0005-0000-0000-000002000000}"/>
    <cellStyle name="Followed Hyperlink" xfId="10" builtinId="9" hidden="1"/>
    <cellStyle name="Followed Hyperlink" xfId="8" builtinId="9" hidden="1"/>
    <cellStyle name="Hyperlink" xfId="9" builtinId="8" hidden="1"/>
    <cellStyle name="Hyperlink" xfId="7" builtinId="8" hidden="1"/>
    <cellStyle name="Normal" xfId="0" builtinId="0"/>
    <cellStyle name="Normal 2" xfId="3" xr:uid="{00000000-0005-0000-0000-000008000000}"/>
    <cellStyle name="Percent" xfId="2" builtinId="5"/>
    <cellStyle name="Percent 2" xfId="5" xr:uid="{00000000-0005-0000-0000-00000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120218</xdr:colOff>
      <xdr:row>3</xdr:row>
      <xdr:rowOff>55487</xdr:rowOff>
    </xdr:from>
    <xdr:to>
      <xdr:col>12</xdr:col>
      <xdr:colOff>194200</xdr:colOff>
      <xdr:row>13</xdr:row>
      <xdr:rowOff>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AF888-4041-43ED-B9E7-D047F6F28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247" y="665827"/>
          <a:ext cx="3440098" cy="2360950"/>
        </a:xfrm>
        <a:prstGeom prst="rect">
          <a:avLst/>
        </a:prstGeom>
      </xdr:spPr>
    </xdr:pic>
    <xdr:clientData/>
  </xdr:twoCellAnchor>
  <xdr:twoCellAnchor>
    <xdr:from>
      <xdr:col>6</xdr:col>
      <xdr:colOff>242680</xdr:colOff>
      <xdr:row>14</xdr:row>
      <xdr:rowOff>152842</xdr:rowOff>
    </xdr:from>
    <xdr:to>
      <xdr:col>12</xdr:col>
      <xdr:colOff>41880</xdr:colOff>
      <xdr:row>26</xdr:row>
      <xdr:rowOff>43497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50B7F-DB0C-43F7-ACA6-F3EE0BE9A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3100" y="3520882"/>
          <a:ext cx="4957940" cy="2275715"/>
        </a:xfrm>
        <a:prstGeom prst="rect">
          <a:avLst/>
        </a:prstGeom>
      </xdr:spPr>
    </xdr:pic>
    <xdr:clientData/>
  </xdr:twoCellAnchor>
  <xdr:twoCellAnchor>
    <xdr:from>
      <xdr:col>10</xdr:col>
      <xdr:colOff>753201</xdr:colOff>
      <xdr:row>26</xdr:row>
      <xdr:rowOff>1258</xdr:rowOff>
    </xdr:from>
    <xdr:to>
      <xdr:col>12</xdr:col>
      <xdr:colOff>129467</xdr:colOff>
      <xdr:row>27</xdr:row>
      <xdr:rowOff>36991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ADEFF0-F8ED-4F4C-A95A-E186F28F8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4900" y="5679268"/>
          <a:ext cx="1059324" cy="239179"/>
        </a:xfrm>
        <a:prstGeom prst="rect">
          <a:avLst/>
        </a:prstGeom>
      </xdr:spPr>
    </xdr:pic>
    <xdr:clientData/>
  </xdr:twoCellAnchor>
  <xdr:twoCellAnchor editAs="oneCell">
    <xdr:from>
      <xdr:col>11</xdr:col>
      <xdr:colOff>83229</xdr:colOff>
      <xdr:row>25</xdr:row>
      <xdr:rowOff>9248</xdr:rowOff>
    </xdr:from>
    <xdr:to>
      <xdr:col>12</xdr:col>
      <xdr:colOff>22652</xdr:colOff>
      <xdr:row>26</xdr:row>
      <xdr:rowOff>15325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8AA22B-1993-4FBD-A0A8-24C2045A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96457" y="5483811"/>
          <a:ext cx="780952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6" zoomScaleNormal="100" workbookViewId="0">
      <selection activeCell="B22" sqref="B22"/>
    </sheetView>
  </sheetViews>
  <sheetFormatPr defaultColWidth="11" defaultRowHeight="15.6" x14ac:dyDescent="0.3"/>
  <cols>
    <col min="1" max="1" width="33" bestFit="1" customWidth="1"/>
    <col min="2" max="2" width="14" bestFit="1" customWidth="1"/>
    <col min="3" max="3" width="11.3984375" bestFit="1" customWidth="1"/>
    <col min="4" max="4" width="8.5" customWidth="1"/>
    <col min="5" max="5" width="14.59765625" style="46" customWidth="1"/>
    <col min="6" max="6" width="12.59765625" bestFit="1" customWidth="1"/>
    <col min="8" max="8" width="12.69921875" style="49" customWidth="1"/>
  </cols>
  <sheetData>
    <row r="1" spans="1:8" x14ac:dyDescent="0.3">
      <c r="A1" s="4" t="s">
        <v>0</v>
      </c>
      <c r="B1" s="4">
        <v>1</v>
      </c>
    </row>
    <row r="2" spans="1:8" x14ac:dyDescent="0.3">
      <c r="A2" s="24" t="s">
        <v>43</v>
      </c>
      <c r="B2" s="24"/>
    </row>
    <row r="3" spans="1:8" x14ac:dyDescent="0.3">
      <c r="A3" s="24" t="s">
        <v>42</v>
      </c>
      <c r="B3" s="53">
        <f>D13</f>
        <v>12</v>
      </c>
      <c r="E3" s="46" t="s">
        <v>113</v>
      </c>
      <c r="F3">
        <v>4.2</v>
      </c>
    </row>
    <row r="4" spans="1:8" x14ac:dyDescent="0.3">
      <c r="A4" s="24" t="s">
        <v>101</v>
      </c>
      <c r="B4" s="27">
        <v>54</v>
      </c>
    </row>
    <row r="5" spans="1:8" x14ac:dyDescent="0.3">
      <c r="A5" s="24" t="s">
        <v>44</v>
      </c>
      <c r="B5" s="25">
        <f>(B4/B7)*60</f>
        <v>18</v>
      </c>
    </row>
    <row r="6" spans="1:8" x14ac:dyDescent="0.3">
      <c r="A6" s="24" t="s">
        <v>45</v>
      </c>
      <c r="B6" s="25">
        <f>B3*54/B20</f>
        <v>720</v>
      </c>
      <c r="D6" t="s">
        <v>46</v>
      </c>
    </row>
    <row r="7" spans="1:8" x14ac:dyDescent="0.3">
      <c r="A7" s="24" t="s">
        <v>47</v>
      </c>
      <c r="B7" s="25">
        <f>B6/D7</f>
        <v>180</v>
      </c>
      <c r="D7" s="28">
        <v>4</v>
      </c>
    </row>
    <row r="8" spans="1:8" x14ac:dyDescent="0.3">
      <c r="A8" s="24" t="s">
        <v>49</v>
      </c>
      <c r="B8" s="25">
        <f>D7</f>
        <v>4</v>
      </c>
    </row>
    <row r="9" spans="1:8" x14ac:dyDescent="0.3">
      <c r="A9" s="24" t="s">
        <v>48</v>
      </c>
      <c r="B9" s="24">
        <f>IF(B16/B18&lt;6,B16/B18,4)</f>
        <v>1</v>
      </c>
      <c r="D9" s="4" t="s">
        <v>103</v>
      </c>
      <c r="F9" s="45" t="s">
        <v>105</v>
      </c>
      <c r="G9" t="s">
        <v>121</v>
      </c>
      <c r="H9" s="49" t="s">
        <v>112</v>
      </c>
    </row>
    <row r="10" spans="1:8" x14ac:dyDescent="0.3">
      <c r="A10" s="24"/>
      <c r="B10" s="24"/>
      <c r="D10" s="4" t="s">
        <v>111</v>
      </c>
      <c r="F10" s="45"/>
      <c r="G10" s="44">
        <v>2</v>
      </c>
    </row>
    <row r="11" spans="1:8" x14ac:dyDescent="0.3">
      <c r="A11" s="4"/>
      <c r="B11" s="4"/>
      <c r="D11" t="s">
        <v>111</v>
      </c>
      <c r="F11" s="26">
        <f>G10/F3</f>
        <v>0.47619047619047616</v>
      </c>
      <c r="G11" t="s">
        <v>104</v>
      </c>
      <c r="H11" s="50">
        <v>0.5</v>
      </c>
    </row>
    <row r="12" spans="1:8" ht="31.2" x14ac:dyDescent="0.3">
      <c r="A12" s="4"/>
      <c r="B12" s="4"/>
      <c r="D12" s="47">
        <f>B4*H11</f>
        <v>27</v>
      </c>
      <c r="E12" s="46" t="s">
        <v>106</v>
      </c>
      <c r="F12" s="26">
        <f>D12*F11</f>
        <v>12.857142857142856</v>
      </c>
      <c r="G12" t="s">
        <v>104</v>
      </c>
    </row>
    <row r="13" spans="1:8" ht="31.2" x14ac:dyDescent="0.3">
      <c r="A13" s="4"/>
      <c r="B13" s="4"/>
      <c r="D13" s="52">
        <v>12</v>
      </c>
      <c r="E13" s="46" t="s">
        <v>107</v>
      </c>
      <c r="F13" s="54">
        <f>D13*F12*365</f>
        <v>56314.28571428571</v>
      </c>
    </row>
    <row r="14" spans="1:8" ht="31.2" x14ac:dyDescent="0.3">
      <c r="A14" s="4"/>
      <c r="B14" s="4"/>
      <c r="D14" s="45"/>
      <c r="E14" s="46" t="s">
        <v>108</v>
      </c>
      <c r="F14" s="54">
        <f>F13*B22</f>
        <v>385714.28571428568</v>
      </c>
    </row>
    <row r="15" spans="1:8" x14ac:dyDescent="0.3">
      <c r="A15" s="29" t="s">
        <v>56</v>
      </c>
      <c r="E15" s="46" t="s">
        <v>109</v>
      </c>
      <c r="F15" s="21">
        <f>B33</f>
        <v>311839.51813853462</v>
      </c>
    </row>
    <row r="16" spans="1:8" x14ac:dyDescent="0.3">
      <c r="A16" t="s">
        <v>57</v>
      </c>
      <c r="B16">
        <v>0.18</v>
      </c>
      <c r="E16" s="46" t="s">
        <v>110</v>
      </c>
      <c r="F16" s="48">
        <f>F14-F15</f>
        <v>73874.767575751059</v>
      </c>
    </row>
    <row r="17" spans="1:8" x14ac:dyDescent="0.3">
      <c r="A17" t="s">
        <v>1</v>
      </c>
      <c r="B17" s="26">
        <f>B18/B16</f>
        <v>1</v>
      </c>
      <c r="H17" s="51"/>
    </row>
    <row r="18" spans="1:8" x14ac:dyDescent="0.3">
      <c r="A18" t="s">
        <v>2</v>
      </c>
      <c r="B18">
        <f>B7/1000</f>
        <v>0.18</v>
      </c>
    </row>
    <row r="19" spans="1:8" x14ac:dyDescent="0.3">
      <c r="A19" t="s">
        <v>50</v>
      </c>
      <c r="B19">
        <f>D7</f>
        <v>4</v>
      </c>
    </row>
    <row r="20" spans="1:8" x14ac:dyDescent="0.3">
      <c r="A20" t="s">
        <v>3</v>
      </c>
      <c r="B20" s="19">
        <v>0.9</v>
      </c>
    </row>
    <row r="21" spans="1:8" x14ac:dyDescent="0.3">
      <c r="A21" t="s">
        <v>4</v>
      </c>
      <c r="B21" s="1">
        <f>(24-B17*B8)/24</f>
        <v>0.83333333333333337</v>
      </c>
    </row>
    <row r="22" spans="1:8" x14ac:dyDescent="0.3">
      <c r="A22" t="s">
        <v>5</v>
      </c>
      <c r="B22" s="26">
        <f>(F30/B8)/365</f>
        <v>6.8493150684931505</v>
      </c>
    </row>
    <row r="23" spans="1:8" x14ac:dyDescent="0.3">
      <c r="A23" t="s">
        <v>6</v>
      </c>
      <c r="B23" s="3">
        <f>B18*B19*B20*(B21*365)</f>
        <v>197.10000000000002</v>
      </c>
    </row>
    <row r="24" spans="1:8" x14ac:dyDescent="0.3">
      <c r="A24" t="s">
        <v>7</v>
      </c>
      <c r="B24" s="3">
        <f>SUM('Tariffs and Assumptions'!F6:Y6)</f>
        <v>1299.6228698535745</v>
      </c>
    </row>
    <row r="25" spans="1:8" ht="16.2" thickBot="1" x14ac:dyDescent="0.35"/>
    <row r="26" spans="1:8" x14ac:dyDescent="0.3">
      <c r="A26" s="5" t="s">
        <v>8</v>
      </c>
      <c r="B26" s="5">
        <v>890</v>
      </c>
    </row>
    <row r="28" spans="1:8" x14ac:dyDescent="0.3">
      <c r="A28" t="s">
        <v>9</v>
      </c>
      <c r="B28" s="19">
        <v>0.9</v>
      </c>
    </row>
    <row r="30" spans="1:8" x14ac:dyDescent="0.3">
      <c r="A30" t="s">
        <v>10</v>
      </c>
      <c r="B30" s="2">
        <f>B26*B18*1000*B1</f>
        <v>160200</v>
      </c>
      <c r="C30" s="21"/>
      <c r="D30" t="s">
        <v>102</v>
      </c>
      <c r="F30" s="44">
        <v>10000</v>
      </c>
    </row>
    <row r="31" spans="1:8" x14ac:dyDescent="0.3">
      <c r="A31" t="s">
        <v>11</v>
      </c>
      <c r="B31" s="21">
        <f>SUM('Tariffs and Assumptions'!F36:Y36)</f>
        <v>147243.62637448363</v>
      </c>
      <c r="D31" t="s">
        <v>126</v>
      </c>
      <c r="F31" t="s">
        <v>127</v>
      </c>
    </row>
    <row r="32" spans="1:8" ht="16.2" thickBot="1" x14ac:dyDescent="0.35">
      <c r="A32" t="s">
        <v>12</v>
      </c>
      <c r="B32" s="21">
        <f>SUM('Tariffs and Assumptions'!F37:Y37)</f>
        <v>4395.8917640509635</v>
      </c>
      <c r="C32" s="21"/>
    </row>
    <row r="33" spans="1:2" x14ac:dyDescent="0.3">
      <c r="A33" s="5" t="s">
        <v>13</v>
      </c>
      <c r="B33" s="22">
        <f>SUM(B30:B32)</f>
        <v>311839.51813853462</v>
      </c>
    </row>
    <row r="35" spans="1:2" x14ac:dyDescent="0.3">
      <c r="A35" s="4" t="s">
        <v>14</v>
      </c>
      <c r="B35" s="4">
        <f>B33/B24/1000</f>
        <v>0.23994616082253836</v>
      </c>
    </row>
  </sheetData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0"/>
  <sheetViews>
    <sheetView zoomScale="90" zoomScaleNormal="90" workbookViewId="0">
      <pane xSplit="4" ySplit="1" topLeftCell="E8" activePane="bottomRight" state="frozen"/>
      <selection pane="topRight" activeCell="E1" sqref="E1"/>
      <selection pane="bottomLeft" activeCell="A5" sqref="A5"/>
      <selection pane="bottomRight" activeCell="H38" sqref="H38"/>
    </sheetView>
  </sheetViews>
  <sheetFormatPr defaultColWidth="8.8984375" defaultRowHeight="11.4" x14ac:dyDescent="0.2"/>
  <cols>
    <col min="1" max="1" width="29.59765625" style="6" bestFit="1" customWidth="1"/>
    <col min="2" max="2" width="12" style="6" bestFit="1" customWidth="1"/>
    <col min="3" max="3" width="11.8984375" style="6" customWidth="1"/>
    <col min="4" max="4" width="8.8984375" style="6" bestFit="1" customWidth="1"/>
    <col min="5" max="5" width="4.3984375" style="6" bestFit="1" customWidth="1"/>
    <col min="6" max="15" width="12.5" style="6" bestFit="1" customWidth="1"/>
    <col min="16" max="25" width="9.59765625" style="6" bestFit="1" customWidth="1"/>
    <col min="26" max="16384" width="8.8984375" style="6"/>
  </cols>
  <sheetData>
    <row r="1" spans="1:25" x14ac:dyDescent="0.2">
      <c r="A1" s="6" t="s">
        <v>15</v>
      </c>
      <c r="E1" s="6" t="s">
        <v>16</v>
      </c>
      <c r="F1" s="6">
        <v>2022</v>
      </c>
      <c r="G1" s="6">
        <f>F1+1</f>
        <v>2023</v>
      </c>
      <c r="H1" s="6">
        <f>G1+1</f>
        <v>2024</v>
      </c>
      <c r="I1" s="6">
        <f>H1+1</f>
        <v>2025</v>
      </c>
      <c r="J1" s="6">
        <f t="shared" ref="J1:Y1" si="0">I1+1</f>
        <v>2026</v>
      </c>
      <c r="K1" s="6">
        <f t="shared" si="0"/>
        <v>2027</v>
      </c>
      <c r="L1" s="6">
        <f t="shared" si="0"/>
        <v>2028</v>
      </c>
      <c r="M1" s="6">
        <f t="shared" si="0"/>
        <v>2029</v>
      </c>
      <c r="N1" s="6">
        <f t="shared" si="0"/>
        <v>2030</v>
      </c>
      <c r="O1" s="6">
        <f t="shared" si="0"/>
        <v>2031</v>
      </c>
      <c r="P1" s="6">
        <f t="shared" si="0"/>
        <v>2032</v>
      </c>
      <c r="Q1" s="6">
        <f t="shared" si="0"/>
        <v>2033</v>
      </c>
      <c r="R1" s="6">
        <f t="shared" si="0"/>
        <v>2034</v>
      </c>
      <c r="S1" s="6">
        <f t="shared" si="0"/>
        <v>2035</v>
      </c>
      <c r="T1" s="6">
        <f t="shared" si="0"/>
        <v>2036</v>
      </c>
      <c r="U1" s="6">
        <f t="shared" si="0"/>
        <v>2037</v>
      </c>
      <c r="V1" s="6">
        <f t="shared" si="0"/>
        <v>2038</v>
      </c>
      <c r="W1" s="6">
        <f t="shared" si="0"/>
        <v>2039</v>
      </c>
      <c r="X1" s="6">
        <f t="shared" si="0"/>
        <v>2040</v>
      </c>
      <c r="Y1" s="6">
        <f t="shared" si="0"/>
        <v>2041</v>
      </c>
    </row>
    <row r="2" spans="1:25" ht="12" x14ac:dyDescent="0.25">
      <c r="A2" s="7" t="s">
        <v>17</v>
      </c>
    </row>
    <row r="3" spans="1:25" x14ac:dyDescent="0.2">
      <c r="A3" s="6" t="s">
        <v>18</v>
      </c>
      <c r="D3" s="6" t="s">
        <v>19</v>
      </c>
      <c r="F3" s="8">
        <v>0.02</v>
      </c>
      <c r="G3" s="8">
        <f>F3</f>
        <v>0.02</v>
      </c>
      <c r="H3" s="8">
        <f t="shared" ref="H3:X3" si="1">G3</f>
        <v>0.02</v>
      </c>
      <c r="I3" s="8">
        <f t="shared" si="1"/>
        <v>0.02</v>
      </c>
      <c r="J3" s="8">
        <f t="shared" si="1"/>
        <v>0.02</v>
      </c>
      <c r="K3" s="8">
        <f t="shared" si="1"/>
        <v>0.02</v>
      </c>
      <c r="L3" s="8">
        <f t="shared" si="1"/>
        <v>0.02</v>
      </c>
      <c r="M3" s="8">
        <f t="shared" si="1"/>
        <v>0.02</v>
      </c>
      <c r="N3" s="8">
        <f t="shared" si="1"/>
        <v>0.02</v>
      </c>
      <c r="O3" s="8">
        <f t="shared" si="1"/>
        <v>0.02</v>
      </c>
      <c r="P3" s="8">
        <f t="shared" si="1"/>
        <v>0.02</v>
      </c>
      <c r="Q3" s="8">
        <f t="shared" si="1"/>
        <v>0.02</v>
      </c>
      <c r="R3" s="8">
        <f t="shared" si="1"/>
        <v>0.02</v>
      </c>
      <c r="S3" s="8">
        <f t="shared" si="1"/>
        <v>0.02</v>
      </c>
      <c r="T3" s="8">
        <f t="shared" si="1"/>
        <v>0.02</v>
      </c>
      <c r="U3" s="8">
        <f t="shared" si="1"/>
        <v>0.02</v>
      </c>
      <c r="V3" s="8">
        <f t="shared" si="1"/>
        <v>0.02</v>
      </c>
      <c r="W3" s="8">
        <f t="shared" si="1"/>
        <v>0.02</v>
      </c>
      <c r="X3" s="8">
        <f t="shared" si="1"/>
        <v>0.02</v>
      </c>
      <c r="Y3" s="8">
        <f t="shared" ref="Y3" si="2">X3</f>
        <v>0.02</v>
      </c>
    </row>
    <row r="4" spans="1:25" x14ac:dyDescent="0.2">
      <c r="A4" s="6" t="s">
        <v>20</v>
      </c>
      <c r="D4" s="6" t="s">
        <v>19</v>
      </c>
      <c r="F4" s="8">
        <v>0.02</v>
      </c>
      <c r="G4" s="8">
        <f>F4</f>
        <v>0.02</v>
      </c>
      <c r="H4" s="8">
        <f t="shared" ref="H4:X4" si="3">G4</f>
        <v>0.02</v>
      </c>
      <c r="I4" s="8">
        <f t="shared" si="3"/>
        <v>0.02</v>
      </c>
      <c r="J4" s="8">
        <f t="shared" si="3"/>
        <v>0.02</v>
      </c>
      <c r="K4" s="8">
        <f t="shared" si="3"/>
        <v>0.02</v>
      </c>
      <c r="L4" s="8">
        <f t="shared" si="3"/>
        <v>0.02</v>
      </c>
      <c r="M4" s="8">
        <f t="shared" si="3"/>
        <v>0.02</v>
      </c>
      <c r="N4" s="8">
        <f t="shared" si="3"/>
        <v>0.02</v>
      </c>
      <c r="O4" s="8">
        <f t="shared" si="3"/>
        <v>0.02</v>
      </c>
      <c r="P4" s="8">
        <f t="shared" si="3"/>
        <v>0.02</v>
      </c>
      <c r="Q4" s="8">
        <f t="shared" si="3"/>
        <v>0.02</v>
      </c>
      <c r="R4" s="8">
        <f t="shared" si="3"/>
        <v>0.02</v>
      </c>
      <c r="S4" s="8">
        <f t="shared" si="3"/>
        <v>0.02</v>
      </c>
      <c r="T4" s="8">
        <f t="shared" si="3"/>
        <v>0.02</v>
      </c>
      <c r="U4" s="8">
        <f t="shared" si="3"/>
        <v>0.02</v>
      </c>
      <c r="V4" s="8">
        <f t="shared" si="3"/>
        <v>0.02</v>
      </c>
      <c r="W4" s="8">
        <f t="shared" si="3"/>
        <v>0.02</v>
      </c>
      <c r="X4" s="8">
        <f t="shared" si="3"/>
        <v>0.02</v>
      </c>
      <c r="Y4" s="8">
        <f t="shared" ref="Y4" si="4">X4</f>
        <v>0.02</v>
      </c>
    </row>
    <row r="5" spans="1:25" x14ac:dyDescent="0.2"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">
      <c r="A6" s="6" t="s">
        <v>21</v>
      </c>
      <c r="D6" s="6" t="s">
        <v>53</v>
      </c>
      <c r="F6" s="23">
        <f>LCOS!B23*'Tariffs and Assumptions'!F38</f>
        <v>197.10000000000002</v>
      </c>
      <c r="G6" s="23">
        <f t="shared" ref="G6:Y6" si="5">(F6*(100%-F4))*G38</f>
        <v>193.15800000000002</v>
      </c>
      <c r="H6" s="23">
        <f t="shared" si="5"/>
        <v>189.29484000000002</v>
      </c>
      <c r="I6" s="23">
        <f t="shared" si="5"/>
        <v>185.5089432</v>
      </c>
      <c r="J6" s="23">
        <f t="shared" si="5"/>
        <v>181.798764336</v>
      </c>
      <c r="K6" s="23">
        <f t="shared" si="5"/>
        <v>178.16278904928001</v>
      </c>
      <c r="L6" s="23">
        <f t="shared" si="5"/>
        <v>174.59953326829441</v>
      </c>
      <c r="M6" s="23">
        <f t="shared" si="5"/>
        <v>0</v>
      </c>
      <c r="N6" s="23">
        <f t="shared" si="5"/>
        <v>0</v>
      </c>
      <c r="O6" s="23">
        <f t="shared" si="5"/>
        <v>0</v>
      </c>
      <c r="P6" s="23">
        <f t="shared" si="5"/>
        <v>0</v>
      </c>
      <c r="Q6" s="23">
        <f t="shared" si="5"/>
        <v>0</v>
      </c>
      <c r="R6" s="23">
        <f t="shared" si="5"/>
        <v>0</v>
      </c>
      <c r="S6" s="23">
        <f t="shared" si="5"/>
        <v>0</v>
      </c>
      <c r="T6" s="23">
        <f t="shared" si="5"/>
        <v>0</v>
      </c>
      <c r="U6" s="23">
        <f t="shared" si="5"/>
        <v>0</v>
      </c>
      <c r="V6" s="23">
        <f t="shared" si="5"/>
        <v>0</v>
      </c>
      <c r="W6" s="23">
        <f t="shared" si="5"/>
        <v>0</v>
      </c>
      <c r="X6" s="23">
        <f t="shared" si="5"/>
        <v>0</v>
      </c>
      <c r="Y6" s="23">
        <f t="shared" si="5"/>
        <v>0</v>
      </c>
    </row>
    <row r="7" spans="1:25" x14ac:dyDescent="0.2"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2">
      <c r="A8" s="6" t="s">
        <v>122</v>
      </c>
      <c r="D8" s="6" t="s">
        <v>124</v>
      </c>
      <c r="F8" s="23">
        <f>1700</f>
        <v>1700</v>
      </c>
      <c r="G8" s="23">
        <f>1700</f>
        <v>1700</v>
      </c>
      <c r="H8" s="23">
        <f>1700</f>
        <v>1700</v>
      </c>
      <c r="I8" s="23">
        <f>1700</f>
        <v>1700</v>
      </c>
      <c r="J8" s="23">
        <f>1700</f>
        <v>1700</v>
      </c>
      <c r="K8" s="23">
        <f>1700</f>
        <v>1700</v>
      </c>
      <c r="L8" s="23">
        <f>1700</f>
        <v>1700</v>
      </c>
      <c r="M8" s="23">
        <f>1700</f>
        <v>1700</v>
      </c>
      <c r="N8" s="23">
        <f>1700</f>
        <v>1700</v>
      </c>
      <c r="O8" s="23">
        <f>1700</f>
        <v>1700</v>
      </c>
      <c r="P8" s="23">
        <f>1700</f>
        <v>1700</v>
      </c>
      <c r="Q8" s="23">
        <f>1700</f>
        <v>1700</v>
      </c>
      <c r="R8" s="23">
        <f>1700</f>
        <v>1700</v>
      </c>
      <c r="S8" s="23">
        <f>1700</f>
        <v>1700</v>
      </c>
      <c r="T8" s="23">
        <f>1700</f>
        <v>1700</v>
      </c>
      <c r="U8" s="23">
        <f>1700</f>
        <v>1700</v>
      </c>
      <c r="V8" s="23">
        <f>1700</f>
        <v>1700</v>
      </c>
      <c r="W8" s="23">
        <f>1700</f>
        <v>1700</v>
      </c>
      <c r="X8" s="23">
        <f>1700</f>
        <v>1700</v>
      </c>
      <c r="Y8" s="23">
        <f>1700</f>
        <v>1700</v>
      </c>
    </row>
    <row r="9" spans="1:25" x14ac:dyDescent="0.2">
      <c r="A9" s="6" t="s">
        <v>123</v>
      </c>
      <c r="F9" s="23">
        <f>0.87</f>
        <v>0.87</v>
      </c>
      <c r="G9" s="23">
        <f>F9*(1-0.5%)</f>
        <v>0.86565000000000003</v>
      </c>
      <c r="H9" s="23">
        <f t="shared" ref="H9:Y9" si="6">G9*(1-0.5%)</f>
        <v>0.86132175</v>
      </c>
      <c r="I9" s="23">
        <f t="shared" si="6"/>
        <v>0.85701514125</v>
      </c>
      <c r="J9" s="23">
        <f t="shared" si="6"/>
        <v>0.85273006554374997</v>
      </c>
      <c r="K9" s="23">
        <f t="shared" si="6"/>
        <v>0.84846641521603117</v>
      </c>
      <c r="L9" s="23">
        <f t="shared" si="6"/>
        <v>0.84422408313995101</v>
      </c>
      <c r="M9" s="23">
        <f t="shared" si="6"/>
        <v>0.84000296272425123</v>
      </c>
      <c r="N9" s="23">
        <f t="shared" si="6"/>
        <v>0.83580294791062992</v>
      </c>
      <c r="O9" s="23">
        <f t="shared" si="6"/>
        <v>0.83162393317107675</v>
      </c>
      <c r="P9" s="23">
        <f t="shared" si="6"/>
        <v>0.8274658135052213</v>
      </c>
      <c r="Q9" s="23">
        <f t="shared" si="6"/>
        <v>0.82332848443769524</v>
      </c>
      <c r="R9" s="23">
        <f t="shared" si="6"/>
        <v>0.81921184201550679</v>
      </c>
      <c r="S9" s="23">
        <f t="shared" si="6"/>
        <v>0.81511578280542929</v>
      </c>
      <c r="T9" s="23">
        <f t="shared" si="6"/>
        <v>0.81104020389140219</v>
      </c>
      <c r="U9" s="23">
        <f t="shared" si="6"/>
        <v>0.80698500287194519</v>
      </c>
      <c r="V9" s="23">
        <f t="shared" si="6"/>
        <v>0.80295007785758543</v>
      </c>
      <c r="W9" s="23">
        <f t="shared" si="6"/>
        <v>0.79893532746829754</v>
      </c>
      <c r="X9" s="23">
        <f t="shared" si="6"/>
        <v>0.794940650830956</v>
      </c>
      <c r="Y9" s="23">
        <f t="shared" si="6"/>
        <v>0.79096594757680116</v>
      </c>
    </row>
    <row r="10" spans="1:25" x14ac:dyDescent="0.2">
      <c r="A10" s="6" t="s">
        <v>125</v>
      </c>
      <c r="D10" s="6" t="s">
        <v>51</v>
      </c>
      <c r="F10" s="23">
        <v>27</v>
      </c>
      <c r="G10" s="23">
        <v>27</v>
      </c>
      <c r="H10" s="23">
        <v>27</v>
      </c>
      <c r="I10" s="23">
        <v>27</v>
      </c>
      <c r="J10" s="23">
        <v>27</v>
      </c>
      <c r="K10" s="23">
        <v>27</v>
      </c>
      <c r="L10" s="23">
        <v>27</v>
      </c>
      <c r="M10" s="23">
        <v>27</v>
      </c>
      <c r="N10" s="23">
        <v>27</v>
      </c>
      <c r="O10" s="23">
        <v>27</v>
      </c>
      <c r="P10" s="23">
        <v>27</v>
      </c>
      <c r="Q10" s="23">
        <v>27</v>
      </c>
      <c r="R10" s="23">
        <v>27</v>
      </c>
      <c r="S10" s="23">
        <v>27</v>
      </c>
      <c r="T10" s="23">
        <v>27</v>
      </c>
      <c r="U10" s="23">
        <v>27</v>
      </c>
      <c r="V10" s="23">
        <v>27</v>
      </c>
      <c r="W10" s="23">
        <v>27</v>
      </c>
      <c r="X10" s="23">
        <v>27</v>
      </c>
      <c r="Y10" s="23">
        <v>27</v>
      </c>
    </row>
    <row r="11" spans="1:25" x14ac:dyDescent="0.2">
      <c r="A11" s="6" t="s">
        <v>52</v>
      </c>
      <c r="D11" s="6" t="s">
        <v>53</v>
      </c>
      <c r="F11" s="23">
        <f t="shared" ref="F11:Y11" si="7">F8*F10/1000*F9</f>
        <v>39.933</v>
      </c>
      <c r="G11" s="23">
        <f t="shared" si="7"/>
        <v>39.733334999999997</v>
      </c>
      <c r="H11" s="23">
        <f t="shared" si="7"/>
        <v>39.534668324999998</v>
      </c>
      <c r="I11" s="23">
        <f t="shared" si="7"/>
        <v>39.336994983375</v>
      </c>
      <c r="J11" s="23">
        <f t="shared" si="7"/>
        <v>39.140310008458123</v>
      </c>
      <c r="K11" s="23">
        <f t="shared" si="7"/>
        <v>38.944608458415829</v>
      </c>
      <c r="L11" s="23">
        <f t="shared" si="7"/>
        <v>38.749885416123753</v>
      </c>
      <c r="M11" s="23">
        <f t="shared" si="7"/>
        <v>38.556135989043128</v>
      </c>
      <c r="N11" s="23">
        <f t="shared" si="7"/>
        <v>38.363355309097912</v>
      </c>
      <c r="O11" s="23">
        <f t="shared" si="7"/>
        <v>38.171538532552418</v>
      </c>
      <c r="P11" s="23">
        <f t="shared" si="7"/>
        <v>37.980680839889658</v>
      </c>
      <c r="Q11" s="23">
        <f t="shared" si="7"/>
        <v>37.79077743569021</v>
      </c>
      <c r="R11" s="23">
        <f t="shared" si="7"/>
        <v>37.60182354851176</v>
      </c>
      <c r="S11" s="23">
        <f t="shared" si="7"/>
        <v>37.4138144307692</v>
      </c>
      <c r="T11" s="23">
        <f t="shared" si="7"/>
        <v>37.226745358615361</v>
      </c>
      <c r="U11" s="23">
        <f t="shared" si="7"/>
        <v>37.04061163182228</v>
      </c>
      <c r="V11" s="23">
        <f t="shared" si="7"/>
        <v>36.855408573663169</v>
      </c>
      <c r="W11" s="23">
        <f t="shared" si="7"/>
        <v>36.671131530794852</v>
      </c>
      <c r="X11" s="23">
        <f t="shared" si="7"/>
        <v>36.487775873140876</v>
      </c>
      <c r="Y11" s="23">
        <f t="shared" si="7"/>
        <v>36.305336993775171</v>
      </c>
    </row>
    <row r="12" spans="1:25" x14ac:dyDescent="0.2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x14ac:dyDescent="0.2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x14ac:dyDescent="0.2"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2" x14ac:dyDescent="0.25">
      <c r="A15" s="7" t="s">
        <v>22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3.2" x14ac:dyDescent="0.25">
      <c r="A16" s="9" t="s">
        <v>54</v>
      </c>
      <c r="D16" s="6" t="s">
        <v>23</v>
      </c>
      <c r="F16" s="10">
        <v>0.12</v>
      </c>
      <c r="G16" s="10">
        <v>0.12</v>
      </c>
      <c r="H16" s="10">
        <v>0.12</v>
      </c>
      <c r="I16" s="10">
        <v>0.12</v>
      </c>
      <c r="J16" s="10">
        <v>0.12</v>
      </c>
      <c r="K16" s="10">
        <v>0.12</v>
      </c>
      <c r="L16" s="10">
        <v>0.12</v>
      </c>
      <c r="M16" s="10">
        <v>0.12</v>
      </c>
      <c r="N16" s="10">
        <v>0.12</v>
      </c>
      <c r="O16" s="10">
        <v>0.12</v>
      </c>
      <c r="P16" s="10">
        <v>0.12</v>
      </c>
      <c r="Q16" s="10">
        <v>0.12</v>
      </c>
      <c r="R16" s="10">
        <v>0.12</v>
      </c>
      <c r="S16" s="10">
        <v>0.12</v>
      </c>
      <c r="T16" s="10">
        <v>0.12</v>
      </c>
      <c r="U16" s="10">
        <v>0.12</v>
      </c>
      <c r="V16" s="10">
        <v>0.12</v>
      </c>
      <c r="W16" s="10">
        <v>0.12</v>
      </c>
      <c r="X16" s="10">
        <v>0.12</v>
      </c>
      <c r="Y16" s="10">
        <v>0.12</v>
      </c>
    </row>
    <row r="17" spans="1:25" ht="13.2" x14ac:dyDescent="0.25">
      <c r="A17" s="9" t="s">
        <v>24</v>
      </c>
      <c r="B17" s="6" t="s">
        <v>25</v>
      </c>
      <c r="D17" s="6" t="s">
        <v>26</v>
      </c>
      <c r="F17" s="10">
        <v>0.15886535952227343</v>
      </c>
      <c r="G17" s="10">
        <v>0.16332963593313263</v>
      </c>
      <c r="H17" s="10">
        <v>0.16825422005003121</v>
      </c>
      <c r="I17" s="10">
        <v>0.17363997768830811</v>
      </c>
      <c r="J17" s="10">
        <v>0.17934294679211296</v>
      </c>
      <c r="K17" s="10">
        <v>0.18550821219414271</v>
      </c>
      <c r="L17" s="10">
        <v>0.1921364481745913</v>
      </c>
      <c r="M17" s="10">
        <v>0.19864696386761332</v>
      </c>
      <c r="N17" s="10">
        <v>0.20008763801477755</v>
      </c>
      <c r="O17" s="10">
        <v>0.20156658277340511</v>
      </c>
      <c r="P17" s="10">
        <v>0.20308381497006947</v>
      </c>
      <c r="Q17" s="10">
        <v>0.20463936782750294</v>
      </c>
      <c r="R17" s="10">
        <v>0.20623329072467417</v>
      </c>
      <c r="S17" s="10">
        <v>0.20786564896740861</v>
      </c>
      <c r="T17" s="10">
        <v>0.20953652356929359</v>
      </c>
      <c r="U17" s="10">
        <v>0.21124601104262003</v>
      </c>
      <c r="V17" s="10">
        <v>0.2129942231991192</v>
      </c>
      <c r="W17" s="10">
        <v>0.21478128696026175</v>
      </c>
      <c r="X17" s="10">
        <v>0.21478128696026175</v>
      </c>
      <c r="Y17" s="10">
        <v>0.21478128696026175</v>
      </c>
    </row>
    <row r="18" spans="1:25" ht="13.2" x14ac:dyDescent="0.25">
      <c r="A18" s="9" t="s">
        <v>27</v>
      </c>
      <c r="B18" s="6" t="s">
        <v>25</v>
      </c>
      <c r="D18" s="6" t="s">
        <v>26</v>
      </c>
      <c r="F18" s="10">
        <v>0.21186535952227342</v>
      </c>
      <c r="G18" s="10">
        <v>0.21632963593313265</v>
      </c>
      <c r="H18" s="10">
        <v>0.22125422005003123</v>
      </c>
      <c r="I18" s="10">
        <v>0.2266399776883081</v>
      </c>
      <c r="J18" s="10">
        <v>0.23234294679211298</v>
      </c>
      <c r="K18" s="10">
        <v>0.23850821219414273</v>
      </c>
      <c r="L18" s="10">
        <v>0.24513644817459129</v>
      </c>
      <c r="M18" s="10">
        <v>0.25164696386761332</v>
      </c>
      <c r="N18" s="10">
        <v>0.25308763801477757</v>
      </c>
      <c r="O18" s="10">
        <v>0.2545665827734051</v>
      </c>
      <c r="P18" s="10">
        <v>0.25608381497006949</v>
      </c>
      <c r="Q18" s="10">
        <v>0.25763936782750296</v>
      </c>
      <c r="R18" s="10">
        <v>0.25923329072467421</v>
      </c>
      <c r="S18" s="10">
        <v>0.2608656489674086</v>
      </c>
      <c r="T18" s="10">
        <v>0.26253652356929358</v>
      </c>
      <c r="U18" s="10">
        <v>0.26424601104262008</v>
      </c>
      <c r="V18" s="10">
        <v>0.2659942231991192</v>
      </c>
      <c r="W18" s="10">
        <v>0.26778128696026177</v>
      </c>
      <c r="X18" s="10">
        <v>0.26778128696026177</v>
      </c>
      <c r="Y18" s="10">
        <v>0.26778128696026177</v>
      </c>
    </row>
    <row r="19" spans="1:25" ht="13.2" x14ac:dyDescent="0.25">
      <c r="A19" s="9" t="s">
        <v>28</v>
      </c>
      <c r="D19" s="6" t="s">
        <v>26</v>
      </c>
      <c r="F19" s="10">
        <f>0.8*F18</f>
        <v>0.16949228761781876</v>
      </c>
      <c r="G19" s="10">
        <f t="shared" ref="G19:U19" si="8">0.8*G18</f>
        <v>0.17306370874650612</v>
      </c>
      <c r="H19" s="10">
        <f t="shared" si="8"/>
        <v>0.177003376040025</v>
      </c>
      <c r="I19" s="10">
        <f t="shared" si="8"/>
        <v>0.18131198215064648</v>
      </c>
      <c r="J19" s="10">
        <f t="shared" si="8"/>
        <v>0.18587435743369041</v>
      </c>
      <c r="K19" s="10">
        <f t="shared" si="8"/>
        <v>0.19080656975531418</v>
      </c>
      <c r="L19" s="10">
        <f t="shared" si="8"/>
        <v>0.19610915853967303</v>
      </c>
      <c r="M19" s="10">
        <f t="shared" si="8"/>
        <v>0.20131757109409065</v>
      </c>
      <c r="N19" s="10">
        <f t="shared" si="8"/>
        <v>0.20247011041182206</v>
      </c>
      <c r="O19" s="10">
        <f t="shared" si="8"/>
        <v>0.20365326621872409</v>
      </c>
      <c r="P19" s="10">
        <f t="shared" si="8"/>
        <v>0.20486705197605559</v>
      </c>
      <c r="Q19" s="10">
        <f t="shared" si="8"/>
        <v>0.20611149426200237</v>
      </c>
      <c r="R19" s="10">
        <f t="shared" si="8"/>
        <v>0.20738663257973938</v>
      </c>
      <c r="S19" s="10">
        <f t="shared" si="8"/>
        <v>0.20869251917392689</v>
      </c>
      <c r="T19" s="10">
        <f t="shared" si="8"/>
        <v>0.21002921885543488</v>
      </c>
      <c r="U19" s="10">
        <f t="shared" si="8"/>
        <v>0.21139680883409606</v>
      </c>
      <c r="V19" s="10">
        <f t="shared" ref="V19:X19" si="9">0.8*V18</f>
        <v>0.21279537855929537</v>
      </c>
      <c r="W19" s="10">
        <f t="shared" si="9"/>
        <v>0.21422502956820944</v>
      </c>
      <c r="X19" s="10">
        <f t="shared" si="9"/>
        <v>0.21422502956820944</v>
      </c>
      <c r="Y19" s="10">
        <f t="shared" ref="Y19" si="10">0.8*Y18</f>
        <v>0.21422502956820944</v>
      </c>
    </row>
    <row r="20" spans="1:25" ht="13.2" x14ac:dyDescent="0.25">
      <c r="A20" s="9" t="s">
        <v>29</v>
      </c>
      <c r="F20" s="11">
        <f>F18/0.1913</f>
        <v>1.1075031862115705</v>
      </c>
      <c r="G20" s="11">
        <f t="shared" ref="G20:U20" si="11">G18/0.1913</f>
        <v>1.1308397069165324</v>
      </c>
      <c r="H20" s="11">
        <f t="shared" si="11"/>
        <v>1.1565824362259867</v>
      </c>
      <c r="I20" s="11">
        <f t="shared" si="11"/>
        <v>1.1847359000957036</v>
      </c>
      <c r="J20" s="11">
        <f t="shared" si="11"/>
        <v>1.2145475524940563</v>
      </c>
      <c r="K20" s="11">
        <f t="shared" si="11"/>
        <v>1.2467758086468517</v>
      </c>
      <c r="L20" s="11">
        <f t="shared" si="11"/>
        <v>1.2814241932806654</v>
      </c>
      <c r="M20" s="11">
        <f t="shared" si="11"/>
        <v>1.315457207880885</v>
      </c>
      <c r="N20" s="11">
        <f t="shared" si="11"/>
        <v>1.3229881757176036</v>
      </c>
      <c r="O20" s="11">
        <f t="shared" si="11"/>
        <v>1.3307191990245955</v>
      </c>
      <c r="P20" s="11">
        <f t="shared" si="11"/>
        <v>1.3386503657609488</v>
      </c>
      <c r="Q20" s="11">
        <f t="shared" si="11"/>
        <v>1.3467818495948927</v>
      </c>
      <c r="R20" s="11">
        <f t="shared" si="11"/>
        <v>1.35511390864963</v>
      </c>
      <c r="S20" s="11">
        <f t="shared" si="11"/>
        <v>1.3636468843042793</v>
      </c>
      <c r="T20" s="11">
        <f t="shared" si="11"/>
        <v>1.3723812000485811</v>
      </c>
      <c r="U20" s="11">
        <f t="shared" si="11"/>
        <v>1.3813173603900684</v>
      </c>
      <c r="V20" s="11">
        <f t="shared" ref="V20:X20" si="12">V18/0.1913</f>
        <v>1.3904559498124369</v>
      </c>
      <c r="W20" s="11">
        <f t="shared" si="12"/>
        <v>1.3997976317839089</v>
      </c>
      <c r="X20" s="11">
        <f t="shared" si="12"/>
        <v>1.3997976317839089</v>
      </c>
      <c r="Y20" s="11">
        <f t="shared" ref="Y20" si="13">Y18/0.1913</f>
        <v>1.3997976317839089</v>
      </c>
    </row>
    <row r="21" spans="1:25" ht="13.2" x14ac:dyDescent="0.25">
      <c r="A21" s="9" t="s">
        <v>30</v>
      </c>
      <c r="D21" s="6" t="s">
        <v>26</v>
      </c>
      <c r="F21" s="10">
        <f>F18-F17</f>
        <v>5.2999999999999992E-2</v>
      </c>
      <c r="G21" s="10">
        <f t="shared" ref="G21:U21" si="14">G18-G17</f>
        <v>5.3000000000000019E-2</v>
      </c>
      <c r="H21" s="10">
        <f t="shared" si="14"/>
        <v>5.3000000000000019E-2</v>
      </c>
      <c r="I21" s="10">
        <f t="shared" si="14"/>
        <v>5.2999999999999992E-2</v>
      </c>
      <c r="J21" s="10">
        <f t="shared" si="14"/>
        <v>5.3000000000000019E-2</v>
      </c>
      <c r="K21" s="10">
        <f t="shared" si="14"/>
        <v>5.3000000000000019E-2</v>
      </c>
      <c r="L21" s="10">
        <f t="shared" si="14"/>
        <v>5.2999999999999992E-2</v>
      </c>
      <c r="M21" s="10">
        <f t="shared" si="14"/>
        <v>5.2999999999999992E-2</v>
      </c>
      <c r="N21" s="10">
        <f t="shared" si="14"/>
        <v>5.3000000000000019E-2</v>
      </c>
      <c r="O21" s="10">
        <f t="shared" si="14"/>
        <v>5.2999999999999992E-2</v>
      </c>
      <c r="P21" s="10">
        <f t="shared" si="14"/>
        <v>5.3000000000000019E-2</v>
      </c>
      <c r="Q21" s="10">
        <f t="shared" si="14"/>
        <v>5.3000000000000019E-2</v>
      </c>
      <c r="R21" s="10">
        <f t="shared" si="14"/>
        <v>5.3000000000000047E-2</v>
      </c>
      <c r="S21" s="10">
        <f t="shared" si="14"/>
        <v>5.2999999999999992E-2</v>
      </c>
      <c r="T21" s="10">
        <f t="shared" si="14"/>
        <v>5.2999999999999992E-2</v>
      </c>
      <c r="U21" s="10">
        <f t="shared" si="14"/>
        <v>5.3000000000000047E-2</v>
      </c>
      <c r="V21" s="10">
        <f t="shared" ref="V21:X21" si="15">V18-V17</f>
        <v>5.2999999999999992E-2</v>
      </c>
      <c r="W21" s="10">
        <f t="shared" si="15"/>
        <v>5.3000000000000019E-2</v>
      </c>
      <c r="X21" s="10">
        <f t="shared" si="15"/>
        <v>5.3000000000000019E-2</v>
      </c>
      <c r="Y21" s="10">
        <f t="shared" ref="Y21" si="16">Y18-Y17</f>
        <v>5.3000000000000019E-2</v>
      </c>
    </row>
    <row r="22" spans="1:25" x14ac:dyDescent="0.2">
      <c r="A22" s="12"/>
      <c r="F22" s="13"/>
      <c r="G22" s="13"/>
    </row>
    <row r="23" spans="1:25" x14ac:dyDescent="0.2">
      <c r="A23" s="6" t="s">
        <v>31</v>
      </c>
      <c r="D23" s="6" t="s">
        <v>26</v>
      </c>
      <c r="F23" s="10">
        <v>0.12</v>
      </c>
      <c r="G23" s="10">
        <v>0.12</v>
      </c>
      <c r="H23" s="10">
        <v>0.12</v>
      </c>
      <c r="I23" s="10">
        <v>0.12</v>
      </c>
      <c r="J23" s="10">
        <v>0.12</v>
      </c>
      <c r="K23" s="10">
        <v>0.12</v>
      </c>
      <c r="L23" s="10">
        <v>0.12</v>
      </c>
      <c r="M23" s="10">
        <v>0.12</v>
      </c>
      <c r="N23" s="10">
        <v>0.12</v>
      </c>
      <c r="O23" s="10">
        <v>0.12</v>
      </c>
      <c r="P23" s="10">
        <v>0.12</v>
      </c>
      <c r="Q23" s="10">
        <v>0.12</v>
      </c>
      <c r="R23" s="10">
        <v>0.12</v>
      </c>
      <c r="S23" s="10">
        <v>0.12</v>
      </c>
      <c r="T23" s="10">
        <v>0.12</v>
      </c>
      <c r="U23" s="10">
        <v>0.12</v>
      </c>
      <c r="V23" s="10">
        <v>0.12</v>
      </c>
      <c r="W23" s="10">
        <v>0.12</v>
      </c>
      <c r="X23" s="10">
        <v>0.12</v>
      </c>
      <c r="Y23" s="10">
        <v>0.12</v>
      </c>
    </row>
    <row r="24" spans="1:25" x14ac:dyDescent="0.2">
      <c r="A24" s="6" t="s">
        <v>32</v>
      </c>
      <c r="D24" s="6" t="s">
        <v>26</v>
      </c>
      <c r="F24" s="10">
        <v>0.12</v>
      </c>
      <c r="G24" s="10">
        <v>0.12</v>
      </c>
      <c r="H24" s="10">
        <v>0.12</v>
      </c>
      <c r="I24" s="10">
        <v>0.12</v>
      </c>
      <c r="J24" s="10">
        <v>0.12</v>
      </c>
      <c r="K24" s="10">
        <v>0.12</v>
      </c>
      <c r="L24" s="10">
        <v>0.12</v>
      </c>
      <c r="M24" s="10">
        <v>0.12</v>
      </c>
      <c r="N24" s="10">
        <v>0.12</v>
      </c>
      <c r="O24" s="10">
        <v>0.12</v>
      </c>
      <c r="P24" s="10">
        <v>0.12</v>
      </c>
      <c r="Q24" s="10">
        <v>0.12</v>
      </c>
      <c r="R24" s="10">
        <v>0.12</v>
      </c>
      <c r="S24" s="10">
        <v>0.12</v>
      </c>
      <c r="T24" s="10">
        <v>0.12</v>
      </c>
      <c r="U24" s="10">
        <v>0.12</v>
      </c>
      <c r="V24" s="10">
        <v>0.12</v>
      </c>
      <c r="W24" s="10">
        <v>0.12</v>
      </c>
      <c r="X24" s="10">
        <v>0.12</v>
      </c>
      <c r="Y24" s="10">
        <v>0.12</v>
      </c>
    </row>
    <row r="25" spans="1:25" x14ac:dyDescent="0.2">
      <c r="A25" s="6" t="s">
        <v>33</v>
      </c>
      <c r="D25" s="6" t="s">
        <v>26</v>
      </c>
      <c r="F25" s="10">
        <v>1.4E-2</v>
      </c>
      <c r="G25" s="10">
        <v>1.4E-2</v>
      </c>
      <c r="H25" s="10">
        <v>1.4E-2</v>
      </c>
      <c r="I25" s="10">
        <v>1.4E-2</v>
      </c>
      <c r="J25" s="10">
        <v>1.4E-2</v>
      </c>
      <c r="K25" s="10">
        <v>1.4E-2</v>
      </c>
      <c r="L25" s="10">
        <v>1.4E-2</v>
      </c>
      <c r="M25" s="10">
        <v>1.4E-2</v>
      </c>
      <c r="N25" s="10">
        <v>1.4E-2</v>
      </c>
      <c r="O25" s="10">
        <v>1.4E-2</v>
      </c>
      <c r="P25" s="10">
        <v>1.4E-2</v>
      </c>
      <c r="Q25" s="10">
        <v>1.4E-2</v>
      </c>
      <c r="R25" s="10">
        <v>1.4E-2</v>
      </c>
      <c r="S25" s="10">
        <v>1.4E-2</v>
      </c>
      <c r="T25" s="10">
        <v>1.4E-2</v>
      </c>
      <c r="U25" s="10">
        <v>1.4E-2</v>
      </c>
      <c r="V25" s="10">
        <v>1.4E-2</v>
      </c>
      <c r="W25" s="10">
        <v>1.4E-2</v>
      </c>
      <c r="X25" s="10">
        <v>1.4E-2</v>
      </c>
      <c r="Y25" s="10">
        <v>1.4E-2</v>
      </c>
    </row>
    <row r="26" spans="1:25" x14ac:dyDescent="0.2"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">
      <c r="A27" s="6" t="s">
        <v>34</v>
      </c>
      <c r="D27" s="6" t="s">
        <v>19</v>
      </c>
      <c r="F27" s="14">
        <v>0.5</v>
      </c>
      <c r="G27" s="14">
        <v>0.6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14">
        <v>1</v>
      </c>
      <c r="W27" s="14">
        <v>1</v>
      </c>
      <c r="X27" s="14">
        <v>1</v>
      </c>
      <c r="Y27" s="14">
        <v>1</v>
      </c>
    </row>
    <row r="28" spans="1:25" x14ac:dyDescent="0.2">
      <c r="A28" s="6" t="s">
        <v>35</v>
      </c>
      <c r="D28" s="6" t="s">
        <v>26</v>
      </c>
      <c r="F28" s="10">
        <v>0.01</v>
      </c>
      <c r="G28" s="10">
        <v>0.01</v>
      </c>
      <c r="H28" s="10">
        <v>0.01</v>
      </c>
      <c r="I28" s="10">
        <v>0.01</v>
      </c>
      <c r="J28" s="10">
        <v>0.01</v>
      </c>
      <c r="K28" s="10">
        <v>0.01</v>
      </c>
      <c r="L28" s="10">
        <v>0.01</v>
      </c>
      <c r="M28" s="10">
        <v>0.01</v>
      </c>
      <c r="N28" s="10">
        <v>0.01</v>
      </c>
      <c r="O28" s="10">
        <v>0.01</v>
      </c>
      <c r="P28" s="10">
        <v>0.01</v>
      </c>
      <c r="Q28" s="10">
        <v>0.01</v>
      </c>
      <c r="R28" s="10">
        <v>0.01</v>
      </c>
      <c r="S28" s="10">
        <v>0.01</v>
      </c>
      <c r="T28" s="10">
        <v>0.01</v>
      </c>
      <c r="U28" s="10">
        <v>0.01</v>
      </c>
      <c r="V28" s="10">
        <v>0.01</v>
      </c>
      <c r="W28" s="10">
        <v>0.01</v>
      </c>
      <c r="X28" s="10">
        <v>0.01</v>
      </c>
      <c r="Y28" s="10">
        <v>0.01</v>
      </c>
    </row>
    <row r="30" spans="1:25" x14ac:dyDescent="0.2">
      <c r="A30" s="6" t="s">
        <v>55</v>
      </c>
      <c r="D30" s="6" t="s">
        <v>23</v>
      </c>
      <c r="F30" s="15">
        <v>3</v>
      </c>
      <c r="G30" s="16">
        <f t="shared" ref="G30:Y30" si="17">F30*(100%+G3)</f>
        <v>3.06</v>
      </c>
      <c r="H30" s="16">
        <f t="shared" si="17"/>
        <v>3.1212</v>
      </c>
      <c r="I30" s="16">
        <f t="shared" si="17"/>
        <v>3.183624</v>
      </c>
      <c r="J30" s="16">
        <f t="shared" si="17"/>
        <v>3.2472964800000002</v>
      </c>
      <c r="K30" s="16">
        <f t="shared" si="17"/>
        <v>3.3122424096</v>
      </c>
      <c r="L30" s="16">
        <f t="shared" si="17"/>
        <v>3.378487257792</v>
      </c>
      <c r="M30" s="16">
        <f t="shared" si="17"/>
        <v>3.4460570029478399</v>
      </c>
      <c r="N30" s="16">
        <f t="shared" si="17"/>
        <v>3.5149781430067968</v>
      </c>
      <c r="O30" s="16">
        <f t="shared" si="17"/>
        <v>3.585277705866933</v>
      </c>
      <c r="P30" s="16">
        <f t="shared" si="17"/>
        <v>3.6569832599842718</v>
      </c>
      <c r="Q30" s="16">
        <f t="shared" si="17"/>
        <v>3.7301229251839572</v>
      </c>
      <c r="R30" s="16">
        <f t="shared" si="17"/>
        <v>3.8047253836876362</v>
      </c>
      <c r="S30" s="16">
        <f t="shared" si="17"/>
        <v>3.8808198913613889</v>
      </c>
      <c r="T30" s="16">
        <f t="shared" si="17"/>
        <v>3.9584362891886169</v>
      </c>
      <c r="U30" s="16">
        <f t="shared" si="17"/>
        <v>4.0376050149723897</v>
      </c>
      <c r="V30" s="16">
        <f t="shared" si="17"/>
        <v>4.1183571152718379</v>
      </c>
      <c r="W30" s="16">
        <f t="shared" si="17"/>
        <v>4.2007242575772743</v>
      </c>
      <c r="X30" s="16">
        <f t="shared" si="17"/>
        <v>4.2847387427288197</v>
      </c>
      <c r="Y30" s="16">
        <f t="shared" si="17"/>
        <v>4.3704335175833959</v>
      </c>
    </row>
    <row r="31" spans="1:25" x14ac:dyDescent="0.2">
      <c r="A31" s="6" t="s">
        <v>36</v>
      </c>
      <c r="D31" s="6" t="s">
        <v>23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24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</row>
    <row r="32" spans="1:25" x14ac:dyDescent="0.2">
      <c r="A32" s="6" t="s">
        <v>37</v>
      </c>
      <c r="D32" s="6" t="s">
        <v>19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4" spans="1:25" ht="13.2" x14ac:dyDescent="0.25">
      <c r="A34" s="17" t="s">
        <v>38</v>
      </c>
      <c r="D34" s="6" t="s">
        <v>26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</row>
    <row r="36" spans="1:25" x14ac:dyDescent="0.2">
      <c r="A36" s="6" t="s">
        <v>39</v>
      </c>
      <c r="D36" s="6" t="s">
        <v>40</v>
      </c>
      <c r="F36" s="20">
        <f>(F16*(LCOS!$B$23-F11)/LCOS!$B$28)*1000*F38</f>
        <v>20955.600000000002</v>
      </c>
      <c r="G36" s="20">
        <f>(G16*(LCOS!$B$23-G11)/LCOS!$B$28)*1000*G38</f>
        <v>20982.222000000002</v>
      </c>
      <c r="H36" s="20">
        <f>(H16*(LCOS!$B$23-H11)/LCOS!$B$28)*1000*H38</f>
        <v>21008.710890000006</v>
      </c>
      <c r="I36" s="20">
        <f>(I16*(LCOS!$B$23-I11)/LCOS!$B$28)*1000*I38</f>
        <v>21035.067335550004</v>
      </c>
      <c r="J36" s="20">
        <f>(J16*(LCOS!$B$23-J11)/LCOS!$B$28)*1000*J38</f>
        <v>21061.29199887225</v>
      </c>
      <c r="K36" s="20">
        <f>(K16*(LCOS!$B$23-K11)/LCOS!$B$28)*1000*K38</f>
        <v>21087.385538877894</v>
      </c>
      <c r="L36" s="20">
        <f>(L16*(LCOS!$B$23-L11)/LCOS!$B$28)*1000*L38</f>
        <v>21113.348611183501</v>
      </c>
      <c r="M36" s="20">
        <f>(M16*(LCOS!$B$23-M11)/LCOS!$B$28)*1000*M38</f>
        <v>0</v>
      </c>
      <c r="N36" s="20">
        <f>(N16*(LCOS!$B$23-N11)/LCOS!$B$28)*1000*N38</f>
        <v>0</v>
      </c>
      <c r="O36" s="20">
        <f>(O16*(LCOS!$B$23-O11)/LCOS!$B$28)*1000*O38</f>
        <v>0</v>
      </c>
      <c r="P36" s="20">
        <f>(P16*(LCOS!$B$23-P11)/LCOS!$B$28)*1000*P38</f>
        <v>0</v>
      </c>
      <c r="Q36" s="20">
        <f>(Q16*(LCOS!$B$23-Q11)/LCOS!$B$28)*1000*Q38</f>
        <v>0</v>
      </c>
      <c r="R36" s="20">
        <f>(R16*(LCOS!$B$23-R11)/LCOS!$B$28)*1000*R38</f>
        <v>0</v>
      </c>
      <c r="S36" s="20">
        <f>(S16*(LCOS!$B$23-S11)/LCOS!$B$28)*1000*S38</f>
        <v>0</v>
      </c>
      <c r="T36" s="20">
        <f>(T16*(LCOS!$B$23-T11)/LCOS!$B$28)*1000*T38</f>
        <v>0</v>
      </c>
      <c r="U36" s="20">
        <f>(U16*(LCOS!$B$23-U11)/LCOS!$B$28)*1000*U38</f>
        <v>0</v>
      </c>
      <c r="V36" s="20">
        <f>(V16*(LCOS!$B$23-V11)/LCOS!$B$28)*1000*V38</f>
        <v>0</v>
      </c>
      <c r="W36" s="20">
        <f>(W16*(LCOS!$B$23-W11)/LCOS!$B$28)*1000*W38</f>
        <v>0</v>
      </c>
      <c r="X36" s="20">
        <f>(X16*(LCOS!$B$23-X11)/LCOS!$B$28)*1000*X38</f>
        <v>0</v>
      </c>
      <c r="Y36" s="20">
        <f>(Y16*(LCOS!$B$23-Y11)/LCOS!$B$28)*1000*Y38</f>
        <v>0</v>
      </c>
    </row>
    <row r="37" spans="1:25" x14ac:dyDescent="0.2">
      <c r="A37" s="6" t="s">
        <v>41</v>
      </c>
      <c r="D37" s="6" t="s">
        <v>40</v>
      </c>
      <c r="F37" s="20">
        <f>((F30*LCOS!$B$23)+(F31*LCOS!$B$16*1000))*F38</f>
        <v>591.30000000000007</v>
      </c>
      <c r="G37" s="20">
        <f>((G30*LCOS!$B$23)+(G31*LCOS!$B$16*1000))*G38</f>
        <v>603.12600000000009</v>
      </c>
      <c r="H37" s="20">
        <f>((H30*LCOS!$B$23)+(H31*LCOS!$B$16*1000))*H38</f>
        <v>615.18852000000004</v>
      </c>
      <c r="I37" s="20">
        <f>((I30*LCOS!$B$23)+(I31*LCOS!$B$16*1000))*I38</f>
        <v>627.49229040000012</v>
      </c>
      <c r="J37" s="20">
        <f>((J30*LCOS!$B$23)+(J31*LCOS!$B$16*1000))*J38</f>
        <v>640.0421362080001</v>
      </c>
      <c r="K37" s="20">
        <f>((K30*LCOS!$B$23)+(K31*LCOS!$B$16*1000))*K38</f>
        <v>652.84297893216012</v>
      </c>
      <c r="L37" s="20">
        <f>((L30*LCOS!$B$23)+(L31*LCOS!$B$16*1000))*L38</f>
        <v>665.89983851080331</v>
      </c>
      <c r="M37" s="20">
        <f>((M30*LCOS!$B$23)+(M31*LCOS!$B$16*1000))*M38</f>
        <v>0</v>
      </c>
      <c r="N37" s="20">
        <f>((N30*LCOS!$B$23)+(N31*LCOS!$B$16*1000))*N38</f>
        <v>0</v>
      </c>
      <c r="O37" s="20">
        <f>((O30*LCOS!$B$23)+(O31*LCOS!$B$16*1000))*O38</f>
        <v>0</v>
      </c>
      <c r="P37" s="20">
        <f>((P30*LCOS!$B$23)+(P31*LCOS!$B$16*1000))*P38</f>
        <v>0</v>
      </c>
      <c r="Q37" s="20">
        <f>((Q30*LCOS!$B$23)+(Q31*LCOS!$B$16*1000))*Q38</f>
        <v>0</v>
      </c>
      <c r="R37" s="20">
        <f>((R30*LCOS!$B$23)+(R31*LCOS!$B$16*1000))*R38</f>
        <v>0</v>
      </c>
      <c r="S37" s="20">
        <f>((S30*LCOS!$B$23)+(S31*LCOS!$B$16*1000))*S38</f>
        <v>0</v>
      </c>
      <c r="T37" s="20">
        <f>((T30*LCOS!$B$23)+(T31*LCOS!$B$16*1000))*T38</f>
        <v>0</v>
      </c>
      <c r="U37" s="20">
        <f>((U30*LCOS!$B$23)+(U31*LCOS!$B$16*1000))*U38</f>
        <v>0</v>
      </c>
      <c r="V37" s="20">
        <f>((V30*LCOS!$B$23)+(V31*LCOS!$B$16*1000))*V38</f>
        <v>0</v>
      </c>
      <c r="W37" s="20">
        <f>((W30*LCOS!$B$23)+(W31*LCOS!$B$16*1000))*W38</f>
        <v>0</v>
      </c>
      <c r="X37" s="20">
        <f>((X30*LCOS!$B$23)+(X31*LCOS!$B$16*1000))*X38</f>
        <v>0</v>
      </c>
      <c r="Y37" s="20">
        <f>((Y30*LCOS!$B$23)+(Y31*LCOS!$B$16*1000))*Y38</f>
        <v>0</v>
      </c>
    </row>
    <row r="38" spans="1:25" ht="15.6" x14ac:dyDescent="0.3">
      <c r="F38" s="18" t="b">
        <f>'Tariffs and Assumptions'!G38</f>
        <v>1</v>
      </c>
      <c r="G38" s="18" t="b">
        <f>IF(LCOS!$B$22-1&gt;0,TRUE)</f>
        <v>1</v>
      </c>
      <c r="H38" s="18" t="b">
        <f>IF(LCOS!$B$22-2&gt;0,TRUE)</f>
        <v>1</v>
      </c>
      <c r="I38" s="18" t="b">
        <f>IF(LCOS!$B$22-3&gt;0,TRUE)</f>
        <v>1</v>
      </c>
      <c r="J38" s="18" t="b">
        <f>IF(LCOS!$B$22-4&gt;0,TRUE)</f>
        <v>1</v>
      </c>
      <c r="K38" s="18" t="b">
        <f>IF(LCOS!$B$22-5&gt;0,TRUE)</f>
        <v>1</v>
      </c>
      <c r="L38" s="18" t="b">
        <f>IF(LCOS!$B$22-6&gt;0,TRUE)</f>
        <v>1</v>
      </c>
      <c r="M38" s="18" t="b">
        <f>IF(LCOS!$B$22-7&gt;0,TRUE)</f>
        <v>0</v>
      </c>
      <c r="N38" s="18" t="b">
        <f>IF(LCOS!$B$22-8&gt;0,TRUE)</f>
        <v>0</v>
      </c>
      <c r="O38" s="18" t="b">
        <f>IF(LCOS!$B$22-9&gt;0,TRUE)</f>
        <v>0</v>
      </c>
      <c r="P38" s="18" t="b">
        <f>IF(LCOS!$B$22-10&gt;0,TRUE)</f>
        <v>0</v>
      </c>
      <c r="Q38" s="18" t="b">
        <f>IF(LCOS!$B$22-11&gt;0,TRUE)</f>
        <v>0</v>
      </c>
      <c r="R38" s="18" t="b">
        <f>IF(LCOS!$B$22-12&gt;0,TRUE)</f>
        <v>0</v>
      </c>
      <c r="S38" s="18" t="b">
        <f>IF(LCOS!$B$22-13&gt;0,TRUE)</f>
        <v>0</v>
      </c>
      <c r="T38" s="18" t="b">
        <f>IF(LCOS!$B$22-14&gt;0,TRUE)</f>
        <v>0</v>
      </c>
      <c r="U38" s="18" t="b">
        <f>IF(LCOS!$B$22-15&gt;0,TRUE)</f>
        <v>0</v>
      </c>
      <c r="V38" s="18" t="b">
        <f>IF(LCOS!$B$22-16&gt;0,TRUE)</f>
        <v>0</v>
      </c>
      <c r="W38" s="18" t="b">
        <f>IF(LCOS!$B$22-17&gt;0,TRUE)</f>
        <v>0</v>
      </c>
      <c r="X38" s="18" t="b">
        <f>IF(LCOS!$B$22-18&gt;0,TRUE)</f>
        <v>0</v>
      </c>
      <c r="Y38" s="18" t="b">
        <f>IF(LCOS!$B$22-19&gt;0,TRUE)</f>
        <v>0</v>
      </c>
    </row>
    <row r="39" spans="1:25" ht="15.6" x14ac:dyDescent="0.3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6" x14ac:dyDescent="0.3">
      <c r="F40" s="18"/>
      <c r="G40" s="18"/>
      <c r="H40" s="18"/>
      <c r="I40" s="18"/>
      <c r="J40" s="18"/>
      <c r="K40" s="18"/>
      <c r="L40" s="18"/>
    </row>
  </sheetData>
  <pageMargins left="0.7" right="0.7" top="0.75" bottom="0.75" header="0.3" footer="0.3"/>
  <pageSetup paperSize="8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8"/>
  <sheetViews>
    <sheetView workbookViewId="0">
      <selection activeCell="A28" sqref="A28"/>
    </sheetView>
  </sheetViews>
  <sheetFormatPr defaultRowHeight="15.6" x14ac:dyDescent="0.3"/>
  <cols>
    <col min="1" max="1" width="34.5" customWidth="1"/>
    <col min="2" max="2" width="11.19921875" bestFit="1" customWidth="1"/>
    <col min="5" max="5" width="17.09765625" bestFit="1" customWidth="1"/>
  </cols>
  <sheetData>
    <row r="1" spans="1:7" x14ac:dyDescent="0.3">
      <c r="A1" t="s">
        <v>65</v>
      </c>
      <c r="B1">
        <v>887.8</v>
      </c>
      <c r="C1" t="s">
        <v>62</v>
      </c>
      <c r="E1" s="55" t="s">
        <v>78</v>
      </c>
      <c r="F1" s="55"/>
      <c r="G1" s="55"/>
    </row>
    <row r="2" spans="1:7" x14ac:dyDescent="0.3">
      <c r="A2" t="s">
        <v>116</v>
      </c>
      <c r="B2">
        <f>B3*B4*(1+B5)/2</f>
        <v>8100</v>
      </c>
      <c r="E2" t="s">
        <v>9</v>
      </c>
      <c r="F2">
        <v>13</v>
      </c>
      <c r="G2" t="s">
        <v>86</v>
      </c>
    </row>
    <row r="3" spans="1:7" x14ac:dyDescent="0.3">
      <c r="A3" s="30" t="s">
        <v>117</v>
      </c>
      <c r="B3" s="44">
        <f>F15</f>
        <v>10000</v>
      </c>
      <c r="E3" t="s">
        <v>88</v>
      </c>
      <c r="F3">
        <v>2.76</v>
      </c>
      <c r="G3" t="s">
        <v>87</v>
      </c>
    </row>
    <row r="4" spans="1:7" x14ac:dyDescent="0.3">
      <c r="A4" s="30" t="s">
        <v>61</v>
      </c>
      <c r="B4" s="19">
        <v>0.9</v>
      </c>
      <c r="E4" t="s">
        <v>82</v>
      </c>
      <c r="F4">
        <f>F3/4.2</f>
        <v>0.65714285714285703</v>
      </c>
      <c r="G4" t="s">
        <v>79</v>
      </c>
    </row>
    <row r="5" spans="1:7" x14ac:dyDescent="0.3">
      <c r="A5" s="30" t="s">
        <v>59</v>
      </c>
      <c r="B5" s="19">
        <v>0.8</v>
      </c>
      <c r="E5" s="38" t="s">
        <v>83</v>
      </c>
      <c r="F5" s="38">
        <f>F4/F2</f>
        <v>5.0549450549450543E-2</v>
      </c>
      <c r="G5" s="38" t="s">
        <v>80</v>
      </c>
    </row>
    <row r="6" spans="1:7" x14ac:dyDescent="0.3">
      <c r="A6" s="33" t="s">
        <v>114</v>
      </c>
      <c r="B6" s="34">
        <f>B1/B2</f>
        <v>0.10960493827160493</v>
      </c>
      <c r="C6" t="s">
        <v>40</v>
      </c>
    </row>
    <row r="8" spans="1:7" x14ac:dyDescent="0.3">
      <c r="E8" s="55" t="s">
        <v>81</v>
      </c>
      <c r="F8" s="55"/>
      <c r="G8" s="55"/>
    </row>
    <row r="9" spans="1:7" x14ac:dyDescent="0.3">
      <c r="A9" s="31" t="s">
        <v>63</v>
      </c>
      <c r="B9">
        <f>50000/1.36/180</f>
        <v>204.24836601307186</v>
      </c>
      <c r="E9" t="s">
        <v>9</v>
      </c>
      <c r="F9">
        <v>0.18</v>
      </c>
      <c r="G9" t="s">
        <v>85</v>
      </c>
    </row>
    <row r="10" spans="1:7" x14ac:dyDescent="0.3">
      <c r="A10" t="s">
        <v>64</v>
      </c>
      <c r="E10" t="s">
        <v>94</v>
      </c>
      <c r="F10" s="32">
        <f>B30</f>
        <v>0.25455285036291508</v>
      </c>
      <c r="G10" t="s">
        <v>62</v>
      </c>
    </row>
    <row r="11" spans="1:7" x14ac:dyDescent="0.3">
      <c r="A11" s="30" t="s">
        <v>60</v>
      </c>
      <c r="B11">
        <f>F15</f>
        <v>10000</v>
      </c>
      <c r="E11" s="38" t="s">
        <v>84</v>
      </c>
      <c r="F11" s="38">
        <f>F9*F10</f>
        <v>4.581951306532471E-2</v>
      </c>
      <c r="G11" s="38" t="s">
        <v>80</v>
      </c>
    </row>
    <row r="12" spans="1:7" x14ac:dyDescent="0.3">
      <c r="A12" s="34" t="s">
        <v>115</v>
      </c>
      <c r="B12" s="34">
        <f>B9/B11</f>
        <v>2.0424836601307186E-2</v>
      </c>
      <c r="E12" t="s">
        <v>66</v>
      </c>
      <c r="F12">
        <v>0.12</v>
      </c>
      <c r="G12" t="s">
        <v>62</v>
      </c>
    </row>
    <row r="13" spans="1:7" ht="31.2" x14ac:dyDescent="0.3">
      <c r="E13" s="39" t="s">
        <v>95</v>
      </c>
      <c r="F13" s="40">
        <f>F12*F9</f>
        <v>2.1599999999999998E-2</v>
      </c>
      <c r="G13" s="40" t="s">
        <v>80</v>
      </c>
    </row>
    <row r="15" spans="1:7" x14ac:dyDescent="0.3">
      <c r="A15" t="s">
        <v>69</v>
      </c>
      <c r="B15" s="26">
        <f>SUM(B16:B18)+B19*B21</f>
        <v>25818.762418300652</v>
      </c>
      <c r="C15" t="s">
        <v>40</v>
      </c>
      <c r="E15" t="s">
        <v>120</v>
      </c>
      <c r="F15" s="44">
        <v>10000</v>
      </c>
    </row>
    <row r="16" spans="1:7" x14ac:dyDescent="0.3">
      <c r="A16" t="s">
        <v>67</v>
      </c>
      <c r="B16" s="26">
        <f>(B9+B1)*0.05</f>
        <v>54.602418300653589</v>
      </c>
      <c r="C16" t="s">
        <v>40</v>
      </c>
    </row>
    <row r="17" spans="1:6" x14ac:dyDescent="0.3">
      <c r="A17" t="s">
        <v>68</v>
      </c>
      <c r="B17" s="26">
        <v>120</v>
      </c>
      <c r="C17" t="s">
        <v>40</v>
      </c>
    </row>
    <row r="18" spans="1:6" x14ac:dyDescent="0.3">
      <c r="A18" t="s">
        <v>70</v>
      </c>
      <c r="B18">
        <v>100</v>
      </c>
      <c r="C18" t="s">
        <v>40</v>
      </c>
    </row>
    <row r="19" spans="1:6" x14ac:dyDescent="0.3">
      <c r="A19" t="s">
        <v>89</v>
      </c>
      <c r="B19">
        <v>0.12</v>
      </c>
      <c r="C19" t="s">
        <v>62</v>
      </c>
    </row>
    <row r="21" spans="1:6" x14ac:dyDescent="0.3">
      <c r="A21" t="s">
        <v>71</v>
      </c>
      <c r="B21">
        <f>B23*B22*B24</f>
        <v>212868</v>
      </c>
      <c r="C21" t="s">
        <v>58</v>
      </c>
    </row>
    <row r="22" spans="1:6" x14ac:dyDescent="0.3">
      <c r="A22" s="30" t="s">
        <v>90</v>
      </c>
      <c r="B22">
        <v>12</v>
      </c>
    </row>
    <row r="23" spans="1:6" x14ac:dyDescent="0.3">
      <c r="A23" s="30" t="s">
        <v>91</v>
      </c>
      <c r="B23">
        <v>54</v>
      </c>
      <c r="C23" t="s">
        <v>58</v>
      </c>
    </row>
    <row r="24" spans="1:6" x14ac:dyDescent="0.3">
      <c r="A24" s="30" t="s">
        <v>72</v>
      </c>
      <c r="B24">
        <f>365*0.9</f>
        <v>328.5</v>
      </c>
      <c r="C24" t="s">
        <v>73</v>
      </c>
    </row>
    <row r="25" spans="1:6" x14ac:dyDescent="0.3">
      <c r="A25" s="33" t="s">
        <v>74</v>
      </c>
      <c r="B25" s="35">
        <f>B15/B21</f>
        <v>0.12129001267593369</v>
      </c>
      <c r="C25" t="s">
        <v>62</v>
      </c>
    </row>
    <row r="26" spans="1:6" ht="31.2" x14ac:dyDescent="0.3">
      <c r="A26" s="41" t="s">
        <v>96</v>
      </c>
      <c r="B26">
        <f>F26*F27*365</f>
        <v>39420</v>
      </c>
      <c r="C26" t="s">
        <v>58</v>
      </c>
      <c r="E26" t="s">
        <v>118</v>
      </c>
      <c r="F26" s="44">
        <f>27</f>
        <v>27</v>
      </c>
    </row>
    <row r="27" spans="1:6" ht="31.2" x14ac:dyDescent="0.3">
      <c r="A27" s="42" t="s">
        <v>97</v>
      </c>
      <c r="B27" s="43">
        <f>-B26*B19/B21</f>
        <v>-2.222222222222222E-2</v>
      </c>
      <c r="C27" t="s">
        <v>62</v>
      </c>
      <c r="E27" t="s">
        <v>119</v>
      </c>
      <c r="F27" s="44">
        <v>4</v>
      </c>
    </row>
    <row r="28" spans="1:6" x14ac:dyDescent="0.3">
      <c r="A28" s="36" t="s">
        <v>75</v>
      </c>
      <c r="B28" s="37">
        <f>B6+B12+B25+B27</f>
        <v>0.22909756532662359</v>
      </c>
      <c r="C28" t="s">
        <v>62</v>
      </c>
    </row>
    <row r="29" spans="1:6" x14ac:dyDescent="0.3">
      <c r="A29" t="s">
        <v>76</v>
      </c>
      <c r="B29" s="1">
        <v>0.1</v>
      </c>
    </row>
    <row r="30" spans="1:6" x14ac:dyDescent="0.3">
      <c r="A30" s="36" t="s">
        <v>77</v>
      </c>
      <c r="B30" s="37">
        <f>B28/(1-B29)</f>
        <v>0.25455285036291508</v>
      </c>
      <c r="C30" t="s">
        <v>62</v>
      </c>
    </row>
    <row r="32" spans="1:6" x14ac:dyDescent="0.3">
      <c r="A32" s="36" t="s">
        <v>92</v>
      </c>
      <c r="B32" s="37">
        <f>180*B2/B21</f>
        <v>6.8493150684931505</v>
      </c>
      <c r="C32" t="s">
        <v>93</v>
      </c>
    </row>
    <row r="36" spans="1:1" x14ac:dyDescent="0.3">
      <c r="A36" t="s">
        <v>99</v>
      </c>
    </row>
    <row r="37" spans="1:1" x14ac:dyDescent="0.3">
      <c r="A37" t="s">
        <v>98</v>
      </c>
    </row>
    <row r="38" spans="1:1" x14ac:dyDescent="0.3">
      <c r="A38" t="s">
        <v>100</v>
      </c>
    </row>
  </sheetData>
  <mergeCells count="2">
    <mergeCell ref="E8:G8"/>
    <mergeCell ref="E1:G1"/>
  </mergeCells>
  <pageMargins left="0.7" right="0.7" top="0.75" bottom="0.75" header="0.3" footer="0.3"/>
  <pageSetup paperSize="9" scale="7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B0474D4FAC5468938CCCF6F5C40F6" ma:contentTypeVersion="8" ma:contentTypeDescription="Create a new document." ma:contentTypeScope="" ma:versionID="aedc03b06a804b802f9be802c20318c0">
  <xsd:schema xmlns:xsd="http://www.w3.org/2001/XMLSchema" xmlns:xs="http://www.w3.org/2001/XMLSchema" xmlns:p="http://schemas.microsoft.com/office/2006/metadata/properties" xmlns:ns2="fdcd25b6-189c-4487-ab68-4a696b53de1c" xmlns:ns3="64592e0b-a0e6-4e1e-b24c-148f56e33a2e" targetNamespace="http://schemas.microsoft.com/office/2006/metadata/properties" ma:root="true" ma:fieldsID="db88ac03c79725a5d3ae0d27dc01b3a4" ns2:_="" ns3:_="">
    <xsd:import namespace="fdcd25b6-189c-4487-ab68-4a696b53de1c"/>
    <xsd:import namespace="64592e0b-a0e6-4e1e-b24c-148f56e33a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d25b6-189c-4487-ab68-4a696b53de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92e0b-a0e6-4e1e-b24c-148f56e33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A3280-0483-4C73-B331-17E4797DD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45A513-35EE-4053-9807-AA70A907C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d25b6-189c-4487-ab68-4a696b53de1c"/>
    <ds:schemaRef ds:uri="64592e0b-a0e6-4e1e-b24c-148f56e33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FFCE20-D72A-4570-89F4-0FF8356AFF14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4592e0b-a0e6-4e1e-b24c-148f56e33a2e"/>
    <ds:schemaRef ds:uri="fdcd25b6-189c-4487-ab68-4a696b53de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LCOS</vt:lpstr>
      <vt:lpstr>Tariffs and Assumptions</vt:lpstr>
      <vt:lpstr>Capex Opex Price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Tan (Sunseap)</dc:creator>
  <cp:lastModifiedBy>Javern Goh</cp:lastModifiedBy>
  <cp:revision/>
  <cp:lastPrinted>2021-10-03T12:41:17Z</cp:lastPrinted>
  <dcterms:created xsi:type="dcterms:W3CDTF">2017-03-21T02:55:06Z</dcterms:created>
  <dcterms:modified xsi:type="dcterms:W3CDTF">2022-09-02T07:03:18Z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0x010100387B0474D4FAC5468938CCCF6F5C40F6</vt:lpwstr>
  </property>
</Properties>
</file>